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0" windowWidth="12915" windowHeight="6480" activeTab="1"/>
  </bookViews>
  <sheets>
    <sheet name="등급별 일자별 본인부담금" sheetId="9" r:id="rId1"/>
    <sheet name="본인부담금" sheetId="10" r:id="rId2"/>
  </sheets>
  <definedNames>
    <definedName name="_xlnm.Print_Area" localSheetId="0">'등급별 일자별 본인부담금'!$A$1:$G$37</definedName>
  </definedNames>
  <calcPr calcId="144525"/>
</workbook>
</file>

<file path=xl/calcChain.xml><?xml version="1.0" encoding="utf-8"?>
<calcChain xmlns="http://schemas.openxmlformats.org/spreadsheetml/2006/main">
  <c r="G31" i="9" l="1"/>
  <c r="G30" i="9"/>
  <c r="G29" i="9"/>
  <c r="G25" i="9"/>
  <c r="G24" i="9"/>
  <c r="G23" i="9"/>
  <c r="G19" i="9"/>
  <c r="G18" i="9"/>
  <c r="G17" i="9"/>
  <c r="G13" i="9"/>
  <c r="G12" i="9"/>
  <c r="G11" i="9"/>
  <c r="G7" i="9"/>
  <c r="G6" i="9"/>
  <c r="G5" i="9"/>
  <c r="E31" i="9"/>
  <c r="E30" i="9"/>
  <c r="E29" i="9"/>
  <c r="E25" i="9"/>
  <c r="E24" i="9"/>
  <c r="E23" i="9"/>
  <c r="E19" i="9"/>
  <c r="E18" i="9"/>
  <c r="E17" i="9"/>
  <c r="E13" i="9"/>
  <c r="E12" i="9"/>
  <c r="E11" i="9"/>
  <c r="E7" i="9"/>
  <c r="E6" i="9"/>
  <c r="E5" i="9"/>
  <c r="O8" i="10" l="1"/>
  <c r="O7" i="10"/>
  <c r="O6" i="10"/>
  <c r="O5" i="10"/>
  <c r="O4" i="10"/>
  <c r="O3" i="10"/>
  <c r="O26" i="10" l="1"/>
  <c r="O25" i="10"/>
  <c r="O24" i="10"/>
  <c r="O23" i="10"/>
  <c r="O22" i="10"/>
  <c r="O21" i="10"/>
  <c r="O17" i="10"/>
  <c r="O16" i="10"/>
  <c r="O15" i="10"/>
  <c r="O14" i="10"/>
  <c r="O13" i="10"/>
  <c r="O12" i="10"/>
  <c r="I26" i="10"/>
  <c r="I25" i="10"/>
  <c r="I24" i="10"/>
  <c r="I23" i="10"/>
  <c r="I22" i="10"/>
  <c r="I21" i="10"/>
  <c r="I17" i="10"/>
  <c r="I16" i="10"/>
  <c r="I15" i="10"/>
  <c r="I14" i="10"/>
  <c r="I13" i="10"/>
  <c r="I12" i="10"/>
  <c r="I8" i="10"/>
  <c r="I7" i="10"/>
  <c r="I6" i="10"/>
  <c r="I5" i="10"/>
  <c r="I4" i="10"/>
  <c r="I3" i="10"/>
  <c r="C13" i="9" l="1"/>
  <c r="C12" i="9"/>
  <c r="C11" i="9"/>
  <c r="C7" i="9"/>
  <c r="C6" i="9"/>
  <c r="C5" i="9"/>
  <c r="C31" i="9"/>
  <c r="C30" i="9"/>
  <c r="C29" i="9"/>
  <c r="C25" i="9"/>
  <c r="C24" i="9"/>
  <c r="C23" i="9"/>
  <c r="C19" i="9"/>
  <c r="C18" i="9"/>
  <c r="C17" i="9"/>
  <c r="E25" i="10"/>
  <c r="E6" i="10"/>
  <c r="E26" i="10"/>
  <c r="E24" i="10"/>
  <c r="E23" i="10"/>
  <c r="E22" i="10"/>
  <c r="E21" i="10"/>
  <c r="E17" i="10"/>
  <c r="E16" i="10"/>
  <c r="E15" i="10"/>
  <c r="E14" i="10"/>
  <c r="E13" i="10"/>
  <c r="E12" i="10"/>
  <c r="E8" i="10"/>
  <c r="E7" i="10"/>
  <c r="E5" i="10"/>
  <c r="E4" i="10"/>
  <c r="E3" i="10"/>
</calcChain>
</file>

<file path=xl/sharedStrings.xml><?xml version="1.0" encoding="utf-8"?>
<sst xmlns="http://schemas.openxmlformats.org/spreadsheetml/2006/main" count="237" uniqueCount="120">
  <si>
    <t>일자</t>
    <phoneticPr fontId="1" type="noConversion"/>
  </si>
  <si>
    <t>30일</t>
    <phoneticPr fontId="1" type="noConversion"/>
  </si>
  <si>
    <t>31일</t>
    <phoneticPr fontId="1" type="noConversion"/>
  </si>
  <si>
    <t>28일</t>
    <phoneticPr fontId="1" type="noConversion"/>
  </si>
  <si>
    <t>등급별/일자별 본인부담금</t>
    <phoneticPr fontId="1" type="noConversion"/>
  </si>
  <si>
    <t>※ 2등급</t>
    <phoneticPr fontId="1" type="noConversion"/>
  </si>
  <si>
    <t>※ 3등급</t>
    <phoneticPr fontId="1" type="noConversion"/>
  </si>
  <si>
    <t>(단위: 원)</t>
    <phoneticPr fontId="1" type="noConversion"/>
  </si>
  <si>
    <t>등급</t>
    <phoneticPr fontId="1" type="noConversion"/>
  </si>
  <si>
    <t>일반(20%)</t>
    <phoneticPr fontId="1" type="noConversion"/>
  </si>
  <si>
    <t>1등급</t>
    <phoneticPr fontId="1" type="noConversion"/>
  </si>
  <si>
    <t>2등급</t>
    <phoneticPr fontId="1" type="noConversion"/>
  </si>
  <si>
    <t>3등급</t>
    <phoneticPr fontId="1" type="noConversion"/>
  </si>
  <si>
    <t>30일자</t>
    <phoneticPr fontId="1" type="noConversion"/>
  </si>
  <si>
    <t>31일자</t>
    <phoneticPr fontId="1" type="noConversion"/>
  </si>
  <si>
    <t>=</t>
    <phoneticPr fontId="1" type="noConversion"/>
  </si>
  <si>
    <t>※ 1등급</t>
    <phoneticPr fontId="1" type="noConversion"/>
  </si>
  <si>
    <t>※ 본인부담금(식비포함)</t>
    <phoneticPr fontId="1" type="noConversion"/>
  </si>
  <si>
    <t>※ 본인부담금(식비미포함)</t>
    <phoneticPr fontId="1" type="noConversion"/>
  </si>
  <si>
    <t>※ 공단부담금</t>
    <phoneticPr fontId="1" type="noConversion"/>
  </si>
  <si>
    <t>식 비 : 2,400원*1일 3식*30일=216,000원</t>
    <phoneticPr fontId="1" type="noConversion"/>
  </si>
  <si>
    <t>※ 4등급</t>
    <phoneticPr fontId="1" type="noConversion"/>
  </si>
  <si>
    <t>※ 5등급</t>
    <phoneticPr fontId="1" type="noConversion"/>
  </si>
  <si>
    <t xml:space="preserve">3등급       </t>
    <phoneticPr fontId="1" type="noConversion"/>
  </si>
  <si>
    <t xml:space="preserve">* 4등급 ~ 5등급 = 3등급 금액과 동일 </t>
    <phoneticPr fontId="1" type="noConversion"/>
  </si>
  <si>
    <t>일반(80%)</t>
    <phoneticPr fontId="1" type="noConversion"/>
  </si>
  <si>
    <t>65190*0.2*30+246000</t>
    <phoneticPr fontId="1" type="noConversion"/>
  </si>
  <si>
    <t>65190*0.2*31+254200</t>
    <phoneticPr fontId="1" type="noConversion"/>
  </si>
  <si>
    <t>60490*0.2*30+246000</t>
    <phoneticPr fontId="1" type="noConversion"/>
  </si>
  <si>
    <t>60490*0.2*31+254200</t>
    <phoneticPr fontId="1" type="noConversion"/>
  </si>
  <si>
    <t>55780*0.2*30+246000</t>
    <phoneticPr fontId="1" type="noConversion"/>
  </si>
  <si>
    <t>55780*0.2*31+254200</t>
    <phoneticPr fontId="1" type="noConversion"/>
  </si>
  <si>
    <t>65190*0.2*30</t>
    <phoneticPr fontId="1" type="noConversion"/>
  </si>
  <si>
    <t>65190*0.2*31</t>
    <phoneticPr fontId="1" type="noConversion"/>
  </si>
  <si>
    <t>60490*0.2*30</t>
    <phoneticPr fontId="1" type="noConversion"/>
  </si>
  <si>
    <t>60490*0.2*31</t>
    <phoneticPr fontId="1" type="noConversion"/>
  </si>
  <si>
    <t>55780*0.2*30</t>
    <phoneticPr fontId="1" type="noConversion"/>
  </si>
  <si>
    <t>55780*0.2*31</t>
    <phoneticPr fontId="1" type="noConversion"/>
  </si>
  <si>
    <t>65190*0.8*30</t>
    <phoneticPr fontId="1" type="noConversion"/>
  </si>
  <si>
    <t>65190*0.8*31</t>
    <phoneticPr fontId="1" type="noConversion"/>
  </si>
  <si>
    <t>60490*0.8*30</t>
    <phoneticPr fontId="1" type="noConversion"/>
  </si>
  <si>
    <t>60490*0.8*31</t>
    <phoneticPr fontId="1" type="noConversion"/>
  </si>
  <si>
    <t>55780*0.8*30</t>
    <phoneticPr fontId="1" type="noConversion"/>
  </si>
  <si>
    <t>55780*0.8*31</t>
    <phoneticPr fontId="1" type="noConversion"/>
  </si>
  <si>
    <t>2018년</t>
    <phoneticPr fontId="1" type="noConversion"/>
  </si>
  <si>
    <t>65190*0.2*30+8200*30</t>
    <phoneticPr fontId="1" type="noConversion"/>
  </si>
  <si>
    <t>65190*0.2*31+8200*31</t>
    <phoneticPr fontId="1" type="noConversion"/>
  </si>
  <si>
    <t>65190*0.2*28+8200*28</t>
    <phoneticPr fontId="1" type="noConversion"/>
  </si>
  <si>
    <t>60490*0.2*30+8200*30</t>
    <phoneticPr fontId="1" type="noConversion"/>
  </si>
  <si>
    <t>60490*0.2*31+8200*31</t>
    <phoneticPr fontId="1" type="noConversion"/>
  </si>
  <si>
    <t>60490*0.2*28+8200*28</t>
    <phoneticPr fontId="1" type="noConversion"/>
  </si>
  <si>
    <t>55,780*0.2*30+8,200*30</t>
    <phoneticPr fontId="1" type="noConversion"/>
  </si>
  <si>
    <t>55,780*0.2*31+8,200*31</t>
    <phoneticPr fontId="1" type="noConversion"/>
  </si>
  <si>
    <t>55,780*0.2*28+8,200*28</t>
    <phoneticPr fontId="1" type="noConversion"/>
  </si>
  <si>
    <t>간식비 : 1,000원*1일 1회*30일=30,000원</t>
    <phoneticPr fontId="1" type="noConversion"/>
  </si>
  <si>
    <t>총(30일기준) 246,000원 / 1일 식대 : 8,200원</t>
    <phoneticPr fontId="1" type="noConversion"/>
  </si>
  <si>
    <t xml:space="preserve">   (31일기준) 254,200원</t>
    <phoneticPr fontId="1" type="noConversion"/>
  </si>
  <si>
    <t>2018. 1. 1 생활비 수가 변경 /  9.87 % 증가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</si>
  <si>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2018</t>
    </r>
    <r>
      <rPr>
        <sz val="11"/>
        <color theme="1"/>
        <rFont val="맑은 고딕"/>
        <family val="3"/>
        <charset val="129"/>
        <scheme val="minor"/>
      </rPr>
      <t>. 1. 1 식대변경</t>
    </r>
    <phoneticPr fontId="1" type="noConversion"/>
  </si>
  <si>
    <t>65190*0.08*30+246000</t>
    <phoneticPr fontId="1" type="noConversion"/>
  </si>
  <si>
    <t>65190*0.08*31+254200</t>
    <phoneticPr fontId="1" type="noConversion"/>
  </si>
  <si>
    <t>60490*0.08*30+246000</t>
    <phoneticPr fontId="1" type="noConversion"/>
  </si>
  <si>
    <t>60490*0.08*31+254200</t>
    <phoneticPr fontId="1" type="noConversion"/>
  </si>
  <si>
    <t>55780*0.08*30+246000</t>
    <phoneticPr fontId="1" type="noConversion"/>
  </si>
  <si>
    <t>55780*0.08*31+254200</t>
    <phoneticPr fontId="1" type="noConversion"/>
  </si>
  <si>
    <t>차상위(8%)</t>
    <phoneticPr fontId="1" type="noConversion"/>
  </si>
  <si>
    <t>차상위(92%)</t>
    <phoneticPr fontId="1" type="noConversion"/>
  </si>
  <si>
    <t>차상위(12%)</t>
    <phoneticPr fontId="1" type="noConversion"/>
  </si>
  <si>
    <t>차상위(12%)</t>
    <phoneticPr fontId="1" type="noConversion"/>
  </si>
  <si>
    <t>차상위(88%)</t>
    <phoneticPr fontId="1" type="noConversion"/>
  </si>
  <si>
    <t>65190*0.08*30</t>
    <phoneticPr fontId="1" type="noConversion"/>
  </si>
  <si>
    <t>65190*0.08*31</t>
    <phoneticPr fontId="1" type="noConversion"/>
  </si>
  <si>
    <t>60490*0.08*30</t>
    <phoneticPr fontId="1" type="noConversion"/>
  </si>
  <si>
    <t>60490*0.08*31</t>
    <phoneticPr fontId="1" type="noConversion"/>
  </si>
  <si>
    <t>55780*0.08*30</t>
    <phoneticPr fontId="1" type="noConversion"/>
  </si>
  <si>
    <t>55780*0.08*31</t>
    <phoneticPr fontId="1" type="noConversion"/>
  </si>
  <si>
    <t>65190*0.92*30</t>
    <phoneticPr fontId="1" type="noConversion"/>
  </si>
  <si>
    <t>65190*0.92*31</t>
    <phoneticPr fontId="1" type="noConversion"/>
  </si>
  <si>
    <t>60490*0.92*30</t>
    <phoneticPr fontId="1" type="noConversion"/>
  </si>
  <si>
    <t>60490*0.92*31</t>
    <phoneticPr fontId="1" type="noConversion"/>
  </si>
  <si>
    <t>55780*0.92*30</t>
    <phoneticPr fontId="1" type="noConversion"/>
  </si>
  <si>
    <t>55780*0.92*31</t>
    <phoneticPr fontId="1" type="noConversion"/>
  </si>
  <si>
    <t>65190*0.12*30+246000</t>
    <phoneticPr fontId="1" type="noConversion"/>
  </si>
  <si>
    <t>65190*0.12*31+254200</t>
    <phoneticPr fontId="1" type="noConversion"/>
  </si>
  <si>
    <t>60490*0.12*30+246000</t>
    <phoneticPr fontId="1" type="noConversion"/>
  </si>
  <si>
    <t>60490*0.12*31+254200</t>
    <phoneticPr fontId="1" type="noConversion"/>
  </si>
  <si>
    <t>55780*0.12*30+246000</t>
    <phoneticPr fontId="1" type="noConversion"/>
  </si>
  <si>
    <t>55780*0.12*31+254200</t>
    <phoneticPr fontId="1" type="noConversion"/>
  </si>
  <si>
    <t>65190*0.12*30</t>
    <phoneticPr fontId="1" type="noConversion"/>
  </si>
  <si>
    <t>65190*0.12*31</t>
    <phoneticPr fontId="1" type="noConversion"/>
  </si>
  <si>
    <t>60490*0.12*30</t>
    <phoneticPr fontId="1" type="noConversion"/>
  </si>
  <si>
    <t>60490*0.12*31</t>
    <phoneticPr fontId="1" type="noConversion"/>
  </si>
  <si>
    <t>55780*0.12*30</t>
    <phoneticPr fontId="1" type="noConversion"/>
  </si>
  <si>
    <t>55780*0.12*31</t>
    <phoneticPr fontId="1" type="noConversion"/>
  </si>
  <si>
    <t>65190*0.88*30</t>
    <phoneticPr fontId="1" type="noConversion"/>
  </si>
  <si>
    <t>65190*0.88*31</t>
    <phoneticPr fontId="1" type="noConversion"/>
  </si>
  <si>
    <t>60490*0.88*30</t>
    <phoneticPr fontId="1" type="noConversion"/>
  </si>
  <si>
    <t>60490*0.88*31</t>
    <phoneticPr fontId="1" type="noConversion"/>
  </si>
  <si>
    <t>55780*0.88*30</t>
    <phoneticPr fontId="1" type="noConversion"/>
  </si>
  <si>
    <t>55780*0.88*31</t>
    <phoneticPr fontId="1" type="noConversion"/>
  </si>
  <si>
    <t>65190*0.08*30+8200*30</t>
    <phoneticPr fontId="1" type="noConversion"/>
  </si>
  <si>
    <t>65190*0.08*31+8200*31</t>
    <phoneticPr fontId="1" type="noConversion"/>
  </si>
  <si>
    <t>65190*0.08*28+8200*28</t>
    <phoneticPr fontId="1" type="noConversion"/>
  </si>
  <si>
    <t>60490*0.08*30+8200*30</t>
    <phoneticPr fontId="1" type="noConversion"/>
  </si>
  <si>
    <t>60490*0.08*31+8200*31</t>
    <phoneticPr fontId="1" type="noConversion"/>
  </si>
  <si>
    <t>60490*0.08*28+8200*28</t>
    <phoneticPr fontId="1" type="noConversion"/>
  </si>
  <si>
    <t>55,780*0.08*30+8200*30</t>
    <phoneticPr fontId="1" type="noConversion"/>
  </si>
  <si>
    <t>55,780*0.08*31+8200*31</t>
    <phoneticPr fontId="1" type="noConversion"/>
  </si>
  <si>
    <t>55,780*0.08*28+8200*28</t>
    <phoneticPr fontId="1" type="noConversion"/>
  </si>
  <si>
    <t>55,780*0.08*28+8200*28</t>
    <phoneticPr fontId="1" type="noConversion"/>
  </si>
  <si>
    <t>65190*0.12*30+8200*30</t>
    <phoneticPr fontId="1" type="noConversion"/>
  </si>
  <si>
    <t>65190*0.12*31+8200*31</t>
    <phoneticPr fontId="1" type="noConversion"/>
  </si>
  <si>
    <t>65190*0.12*28+8200*28</t>
    <phoneticPr fontId="1" type="noConversion"/>
  </si>
  <si>
    <t>60490*0.12*30+8200*30</t>
    <phoneticPr fontId="1" type="noConversion"/>
  </si>
  <si>
    <t>60490*0.12*31+8200*31</t>
    <phoneticPr fontId="1" type="noConversion"/>
  </si>
  <si>
    <t>60490*0.12*28+8200*28</t>
    <phoneticPr fontId="1" type="noConversion"/>
  </si>
  <si>
    <t>55,780*0.12*30+8200*30</t>
    <phoneticPr fontId="1" type="noConversion"/>
  </si>
  <si>
    <t>55,780*0.12*31+8200*31</t>
    <phoneticPr fontId="1" type="noConversion"/>
  </si>
  <si>
    <t>55,780*0.12*28+8200*28</t>
    <phoneticPr fontId="1" type="noConversion"/>
  </si>
  <si>
    <t>55,780*0.12*28+8200*28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</si>
</sst>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;[Red]#,##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vertical="top"/>
    </xf>
    <xf numFmtId="0" fontId="6" fillId="0" borderId="0" xfId="0" applyFont="1">
      <alignment vertical="center"/>
    </xf>
    <xf numFmtId="41" fontId="7" fillId="0" borderId="1" xfId="1" applyFont="1" applyBorder="1">
      <alignment vertical="center"/>
    </xf>
    <xf numFmtId="0" fontId="8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41" fontId="7" fillId="0" borderId="1" xfId="1" applyFont="1" applyBorder="1" applyAlignment="1">
      <alignment vertical="center"/>
    </xf>
    <xf numFmtId="9" fontId="6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opLeftCell="A4" workbookViewId="0">
      <selection activeCell="N15" sqref="N15"/>
    </sheetView>
  </sheetViews>
  <sheetFormatPr defaultRowHeight="16.5" x14ac:dyDescent="0.3"/>
  <cols>
    <col min="1" max="1" width="8.625" customWidth="1"/>
    <col min="2" max="2" width="25.625" customWidth="1"/>
    <col min="3" max="3" width="10.625" customWidth="1"/>
    <col min="4" max="4" width="25.625" customWidth="1"/>
    <col min="5" max="5" width="10.625" customWidth="1"/>
    <col min="6" max="6" width="25.625" customWidth="1"/>
    <col min="7" max="7" width="10.625" customWidth="1"/>
  </cols>
  <sheetData>
    <row r="1" spans="1:7" ht="25.5" customHeight="1" x14ac:dyDescent="0.3">
      <c r="A1" s="24" t="s">
        <v>4</v>
      </c>
      <c r="B1" s="24"/>
      <c r="C1" s="24"/>
      <c r="D1" s="24"/>
      <c r="E1" s="24"/>
    </row>
    <row r="2" spans="1:7" ht="18" customHeight="1" x14ac:dyDescent="0.3"/>
    <row r="3" spans="1:7" ht="18" customHeight="1" x14ac:dyDescent="0.3">
      <c r="A3" s="4" t="s">
        <v>16</v>
      </c>
      <c r="B3" s="5"/>
      <c r="C3" s="5"/>
      <c r="D3" s="5"/>
      <c r="E3" s="6" t="s">
        <v>7</v>
      </c>
    </row>
    <row r="4" spans="1:7" ht="18" customHeight="1" x14ac:dyDescent="0.3">
      <c r="A4" s="7" t="s">
        <v>0</v>
      </c>
      <c r="B4" s="23">
        <v>0.2</v>
      </c>
      <c r="C4" s="23"/>
      <c r="D4" s="23">
        <v>0.08</v>
      </c>
      <c r="E4" s="23"/>
      <c r="F4" s="23">
        <v>0.12</v>
      </c>
      <c r="G4" s="23"/>
    </row>
    <row r="5" spans="1:7" ht="18" customHeight="1" x14ac:dyDescent="0.3">
      <c r="A5" s="7" t="s">
        <v>1</v>
      </c>
      <c r="B5" s="8" t="s">
        <v>45</v>
      </c>
      <c r="C5" s="9">
        <f>65190*0.2*30+8200*30</f>
        <v>637140</v>
      </c>
      <c r="D5" s="8" t="s">
        <v>100</v>
      </c>
      <c r="E5" s="9">
        <f>65190*0.08*30+8200*30</f>
        <v>402456</v>
      </c>
      <c r="F5" s="18" t="s">
        <v>110</v>
      </c>
      <c r="G5" s="9">
        <f>65190*0.12*30+8200*30</f>
        <v>480684</v>
      </c>
    </row>
    <row r="6" spans="1:7" ht="18" customHeight="1" x14ac:dyDescent="0.3">
      <c r="A6" s="7" t="s">
        <v>2</v>
      </c>
      <c r="B6" s="8" t="s">
        <v>46</v>
      </c>
      <c r="C6" s="9">
        <f>65190*0.2*31+8200*31</f>
        <v>658378</v>
      </c>
      <c r="D6" s="8" t="s">
        <v>101</v>
      </c>
      <c r="E6" s="9">
        <f>65190*0.08*31+8200*31</f>
        <v>415871.19999999995</v>
      </c>
      <c r="F6" s="18" t="s">
        <v>111</v>
      </c>
      <c r="G6" s="9">
        <f>65190*0.12*31+8200*31</f>
        <v>496706.8</v>
      </c>
    </row>
    <row r="7" spans="1:7" ht="18" customHeight="1" x14ac:dyDescent="0.3">
      <c r="A7" s="7" t="s">
        <v>3</v>
      </c>
      <c r="B7" s="8" t="s">
        <v>47</v>
      </c>
      <c r="C7" s="9">
        <f>65190*0.2*28+8200*28</f>
        <v>594664</v>
      </c>
      <c r="D7" s="8" t="s">
        <v>102</v>
      </c>
      <c r="E7" s="9">
        <f>65190*0.08*28+8200*28</f>
        <v>375625.6</v>
      </c>
      <c r="F7" s="18" t="s">
        <v>112</v>
      </c>
      <c r="G7" s="9">
        <f>65190*0.12*28+8200*28</f>
        <v>448638.39999999997</v>
      </c>
    </row>
    <row r="8" spans="1:7" ht="18" customHeight="1" x14ac:dyDescent="0.3">
      <c r="A8" s="10"/>
      <c r="B8" s="5"/>
      <c r="C8" s="5"/>
      <c r="D8" s="5"/>
      <c r="E8" s="5"/>
      <c r="F8" s="5"/>
      <c r="G8" s="5"/>
    </row>
    <row r="9" spans="1:7" ht="18" customHeight="1" x14ac:dyDescent="0.3">
      <c r="A9" s="4" t="s">
        <v>5</v>
      </c>
      <c r="B9" s="5"/>
      <c r="C9" s="5"/>
      <c r="D9" s="5"/>
      <c r="E9" s="6" t="s">
        <v>7</v>
      </c>
      <c r="F9" s="5"/>
      <c r="G9" s="6" t="s">
        <v>7</v>
      </c>
    </row>
    <row r="10" spans="1:7" ht="18" customHeight="1" x14ac:dyDescent="0.3">
      <c r="A10" s="7" t="s">
        <v>0</v>
      </c>
      <c r="B10" s="23">
        <v>0.2</v>
      </c>
      <c r="C10" s="23"/>
      <c r="D10" s="23">
        <v>0.08</v>
      </c>
      <c r="E10" s="23"/>
      <c r="F10" s="23">
        <v>0.12</v>
      </c>
      <c r="G10" s="23"/>
    </row>
    <row r="11" spans="1:7" ht="18" customHeight="1" x14ac:dyDescent="0.3">
      <c r="A11" s="7" t="s">
        <v>1</v>
      </c>
      <c r="B11" s="8" t="s">
        <v>48</v>
      </c>
      <c r="C11" s="9">
        <f>60490*0.2*30+8200*30</f>
        <v>608940</v>
      </c>
      <c r="D11" s="8" t="s">
        <v>103</v>
      </c>
      <c r="E11" s="9">
        <f>60490*0.08*30+8200*30</f>
        <v>391176</v>
      </c>
      <c r="F11" s="18" t="s">
        <v>113</v>
      </c>
      <c r="G11" s="9">
        <f>60490*0.12*30+8200*30</f>
        <v>463764</v>
      </c>
    </row>
    <row r="12" spans="1:7" ht="18" customHeight="1" x14ac:dyDescent="0.3">
      <c r="A12" s="7" t="s">
        <v>2</v>
      </c>
      <c r="B12" s="8" t="s">
        <v>49</v>
      </c>
      <c r="C12" s="9">
        <f>60490*0.2*31+8200*31</f>
        <v>629238</v>
      </c>
      <c r="D12" s="8" t="s">
        <v>104</v>
      </c>
      <c r="E12" s="9">
        <f>60490*0.08*31+8200*31</f>
        <v>404215.19999999995</v>
      </c>
      <c r="F12" s="18" t="s">
        <v>114</v>
      </c>
      <c r="G12" s="9">
        <f>60490*0.12*31+8200*31</f>
        <v>479222.80000000005</v>
      </c>
    </row>
    <row r="13" spans="1:7" ht="18" customHeight="1" x14ac:dyDescent="0.3">
      <c r="A13" s="7" t="s">
        <v>3</v>
      </c>
      <c r="B13" s="8" t="s">
        <v>50</v>
      </c>
      <c r="C13" s="9">
        <f>60490*0.2*28+8200*28</f>
        <v>568344</v>
      </c>
      <c r="D13" s="8" t="s">
        <v>105</v>
      </c>
      <c r="E13" s="9">
        <f>60490*0.08*28+8200*28</f>
        <v>365097.6</v>
      </c>
      <c r="F13" s="18" t="s">
        <v>115</v>
      </c>
      <c r="G13" s="9">
        <f>60490*0.12*28+8200*28</f>
        <v>432846.4</v>
      </c>
    </row>
    <row r="14" spans="1:7" ht="18" customHeight="1" x14ac:dyDescent="0.3">
      <c r="A14" s="10"/>
      <c r="B14" s="5"/>
      <c r="C14" s="5"/>
      <c r="D14" s="5"/>
      <c r="E14" s="5"/>
      <c r="F14" s="5"/>
      <c r="G14" s="5"/>
    </row>
    <row r="15" spans="1:7" ht="18" customHeight="1" x14ac:dyDescent="0.3">
      <c r="A15" s="4" t="s">
        <v>6</v>
      </c>
      <c r="B15" s="5"/>
      <c r="C15" s="5"/>
      <c r="D15" s="5"/>
      <c r="E15" s="6"/>
      <c r="F15" s="5"/>
      <c r="G15" s="6" t="s">
        <v>7</v>
      </c>
    </row>
    <row r="16" spans="1:7" ht="18" customHeight="1" x14ac:dyDescent="0.3">
      <c r="A16" s="7" t="s">
        <v>0</v>
      </c>
      <c r="B16" s="23">
        <v>0.2</v>
      </c>
      <c r="C16" s="23"/>
      <c r="D16" s="23">
        <v>0.08</v>
      </c>
      <c r="E16" s="23"/>
      <c r="F16" s="23">
        <v>0.12</v>
      </c>
      <c r="G16" s="23"/>
    </row>
    <row r="17" spans="1:7" ht="18" customHeight="1" x14ac:dyDescent="0.3">
      <c r="A17" s="7" t="s">
        <v>1</v>
      </c>
      <c r="B17" s="8" t="s">
        <v>51</v>
      </c>
      <c r="C17" s="9">
        <f>55780*0.2*30+8200*30</f>
        <v>580680</v>
      </c>
      <c r="D17" s="8" t="s">
        <v>106</v>
      </c>
      <c r="E17" s="9">
        <f>55780*0.08*30+8200*30</f>
        <v>379872</v>
      </c>
      <c r="F17" s="18" t="s">
        <v>116</v>
      </c>
      <c r="G17" s="9">
        <f>55780*0.12*30+8200*30</f>
        <v>446808</v>
      </c>
    </row>
    <row r="18" spans="1:7" ht="18" customHeight="1" x14ac:dyDescent="0.3">
      <c r="A18" s="7" t="s">
        <v>2</v>
      </c>
      <c r="B18" s="8" t="s">
        <v>52</v>
      </c>
      <c r="C18" s="9">
        <f>55780*0.2*31+8200*31</f>
        <v>600036</v>
      </c>
      <c r="D18" s="8" t="s">
        <v>107</v>
      </c>
      <c r="E18" s="9">
        <f>55780*0.08*31+8200*31</f>
        <v>392534.4</v>
      </c>
      <c r="F18" s="18" t="s">
        <v>117</v>
      </c>
      <c r="G18" s="9">
        <f>55780*0.12*31+8200*31</f>
        <v>461701.6</v>
      </c>
    </row>
    <row r="19" spans="1:7" ht="18" customHeight="1" x14ac:dyDescent="0.3">
      <c r="A19" s="7" t="s">
        <v>3</v>
      </c>
      <c r="B19" s="8" t="s">
        <v>53</v>
      </c>
      <c r="C19" s="9">
        <f>55780*0.2*28+8200*28</f>
        <v>541968</v>
      </c>
      <c r="D19" s="8" t="s">
        <v>108</v>
      </c>
      <c r="E19" s="9">
        <f>55780*0.08*28+8200*28</f>
        <v>354547.20000000001</v>
      </c>
      <c r="F19" s="18" t="s">
        <v>118</v>
      </c>
      <c r="G19" s="9">
        <f>55780*0.12*28+8200*28</f>
        <v>417020.8</v>
      </c>
    </row>
    <row r="20" spans="1:7" ht="17.25" x14ac:dyDescent="0.3">
      <c r="A20" s="5"/>
      <c r="B20" s="5"/>
      <c r="C20" s="5"/>
      <c r="D20" s="5"/>
      <c r="E20" s="5"/>
      <c r="F20" s="5"/>
      <c r="G20" s="5"/>
    </row>
    <row r="21" spans="1:7" ht="18" customHeight="1" x14ac:dyDescent="0.3">
      <c r="A21" s="4" t="s">
        <v>21</v>
      </c>
      <c r="B21" s="5"/>
      <c r="C21" s="5"/>
      <c r="D21" s="5"/>
      <c r="E21" s="6" t="s">
        <v>7</v>
      </c>
      <c r="F21" s="5"/>
      <c r="G21" s="6" t="s">
        <v>7</v>
      </c>
    </row>
    <row r="22" spans="1:7" ht="18" customHeight="1" x14ac:dyDescent="0.3">
      <c r="A22" s="7" t="s">
        <v>0</v>
      </c>
      <c r="B22" s="23">
        <v>0.2</v>
      </c>
      <c r="C22" s="23"/>
      <c r="D22" s="23">
        <v>0.08</v>
      </c>
      <c r="E22" s="23"/>
      <c r="F22" s="23">
        <v>0.12</v>
      </c>
      <c r="G22" s="23"/>
    </row>
    <row r="23" spans="1:7" ht="18" customHeight="1" x14ac:dyDescent="0.3">
      <c r="A23" s="7" t="s">
        <v>1</v>
      </c>
      <c r="B23" s="15" t="s">
        <v>51</v>
      </c>
      <c r="C23" s="9">
        <f>55780*0.2*30+8200*30</f>
        <v>580680</v>
      </c>
      <c r="D23" s="15" t="s">
        <v>106</v>
      </c>
      <c r="E23" s="9">
        <f>55780*0.08*30+8200*30</f>
        <v>379872</v>
      </c>
      <c r="F23" s="18" t="s">
        <v>116</v>
      </c>
      <c r="G23" s="9">
        <f>55780*0.12*30+8200*30</f>
        <v>446808</v>
      </c>
    </row>
    <row r="24" spans="1:7" ht="18" customHeight="1" x14ac:dyDescent="0.3">
      <c r="A24" s="7" t="s">
        <v>2</v>
      </c>
      <c r="B24" s="15" t="s">
        <v>52</v>
      </c>
      <c r="C24" s="9">
        <f>55780*0.2*31+8200*31</f>
        <v>600036</v>
      </c>
      <c r="D24" s="15" t="s">
        <v>107</v>
      </c>
      <c r="E24" s="9">
        <f>55780*0.08*31+8200*31</f>
        <v>392534.4</v>
      </c>
      <c r="F24" s="18" t="s">
        <v>117</v>
      </c>
      <c r="G24" s="9">
        <f>55780*0.12*31+8200*31</f>
        <v>461701.6</v>
      </c>
    </row>
    <row r="25" spans="1:7" ht="18" customHeight="1" x14ac:dyDescent="0.3">
      <c r="A25" s="7" t="s">
        <v>3</v>
      </c>
      <c r="B25" s="15" t="s">
        <v>53</v>
      </c>
      <c r="C25" s="9">
        <f>55780*0.2*28+8200*28</f>
        <v>541968</v>
      </c>
      <c r="D25" s="15" t="s">
        <v>108</v>
      </c>
      <c r="E25" s="9">
        <f>55780*0.08*28+8200*28</f>
        <v>354547.20000000001</v>
      </c>
      <c r="F25" s="18" t="s">
        <v>119</v>
      </c>
      <c r="G25" s="9">
        <f>55780*0.12*28+8200*28</f>
        <v>417020.8</v>
      </c>
    </row>
    <row r="26" spans="1:7" ht="18" customHeight="1" x14ac:dyDescent="0.3">
      <c r="A26" s="11"/>
      <c r="B26" s="11"/>
      <c r="C26" s="11"/>
      <c r="D26" s="11"/>
      <c r="E26" s="11"/>
      <c r="F26" s="11"/>
      <c r="G26" s="11"/>
    </row>
    <row r="27" spans="1:7" ht="18" customHeight="1" x14ac:dyDescent="0.3">
      <c r="A27" s="4" t="s">
        <v>22</v>
      </c>
      <c r="B27" s="5"/>
      <c r="C27" s="5"/>
      <c r="D27" s="5"/>
      <c r="E27" s="6" t="s">
        <v>7</v>
      </c>
      <c r="F27" s="5"/>
      <c r="G27" s="6" t="s">
        <v>7</v>
      </c>
    </row>
    <row r="28" spans="1:7" ht="18" customHeight="1" x14ac:dyDescent="0.3">
      <c r="A28" s="7" t="s">
        <v>0</v>
      </c>
      <c r="B28" s="23">
        <v>0.2</v>
      </c>
      <c r="C28" s="23"/>
      <c r="D28" s="23">
        <v>0.08</v>
      </c>
      <c r="E28" s="23"/>
      <c r="F28" s="23">
        <v>0.12</v>
      </c>
      <c r="G28" s="23"/>
    </row>
    <row r="29" spans="1:7" ht="18" customHeight="1" x14ac:dyDescent="0.3">
      <c r="A29" s="7" t="s">
        <v>1</v>
      </c>
      <c r="B29" s="15" t="s">
        <v>51</v>
      </c>
      <c r="C29" s="9">
        <f>55780*0.2*30+8200*30</f>
        <v>580680</v>
      </c>
      <c r="D29" s="15" t="s">
        <v>106</v>
      </c>
      <c r="E29" s="9">
        <f>55780*0.08*30+8200*30</f>
        <v>379872</v>
      </c>
      <c r="F29" s="18" t="s">
        <v>116</v>
      </c>
      <c r="G29" s="9">
        <f>55780*0.12*30+8200*30</f>
        <v>446808</v>
      </c>
    </row>
    <row r="30" spans="1:7" ht="18" customHeight="1" x14ac:dyDescent="0.3">
      <c r="A30" s="7" t="s">
        <v>2</v>
      </c>
      <c r="B30" s="15" t="s">
        <v>52</v>
      </c>
      <c r="C30" s="9">
        <f>55780*0.2*31+8200*31</f>
        <v>600036</v>
      </c>
      <c r="D30" s="15" t="s">
        <v>107</v>
      </c>
      <c r="E30" s="9">
        <f>55780*0.08*31+8200*31</f>
        <v>392534.4</v>
      </c>
      <c r="F30" s="18" t="s">
        <v>117</v>
      </c>
      <c r="G30" s="9">
        <f>55780*0.12*31+8200*31</f>
        <v>461701.6</v>
      </c>
    </row>
    <row r="31" spans="1:7" ht="18" customHeight="1" x14ac:dyDescent="0.3">
      <c r="A31" s="7" t="s">
        <v>3</v>
      </c>
      <c r="B31" s="15" t="s">
        <v>53</v>
      </c>
      <c r="C31" s="9">
        <f>55780*0.2*28+8200*28</f>
        <v>541968</v>
      </c>
      <c r="D31" s="15" t="s">
        <v>109</v>
      </c>
      <c r="E31" s="9">
        <f>55780*0.08*28+8200*28</f>
        <v>354547.20000000001</v>
      </c>
      <c r="F31" s="18" t="s">
        <v>119</v>
      </c>
      <c r="G31" s="9">
        <f>55780*0.12*28+8200*28</f>
        <v>417020.8</v>
      </c>
    </row>
    <row r="33" spans="1:5" x14ac:dyDescent="0.3">
      <c r="A33" s="2" t="s">
        <v>58</v>
      </c>
      <c r="B33" s="2"/>
      <c r="C33" s="1"/>
      <c r="D33" s="1"/>
      <c r="E33" s="16"/>
    </row>
    <row r="34" spans="1:5" x14ac:dyDescent="0.3">
      <c r="A34" s="2" t="s">
        <v>20</v>
      </c>
      <c r="B34" s="2"/>
      <c r="C34" s="1"/>
      <c r="D34" s="1"/>
    </row>
    <row r="35" spans="1:5" x14ac:dyDescent="0.3">
      <c r="A35" s="2" t="s">
        <v>54</v>
      </c>
      <c r="B35" s="2"/>
      <c r="C35" s="1"/>
      <c r="D35" s="1"/>
    </row>
    <row r="36" spans="1:5" x14ac:dyDescent="0.3">
      <c r="A36" s="1"/>
      <c r="B36" s="2" t="s">
        <v>55</v>
      </c>
      <c r="C36" s="1"/>
      <c r="D36" s="1"/>
    </row>
    <row r="37" spans="1:5" x14ac:dyDescent="0.3">
      <c r="A37" s="1"/>
      <c r="B37" s="2" t="s">
        <v>56</v>
      </c>
      <c r="C37" s="1"/>
      <c r="D37" s="1"/>
    </row>
    <row r="38" spans="1:5" x14ac:dyDescent="0.3">
      <c r="A38" s="1"/>
      <c r="B38" s="1"/>
      <c r="C38" s="1"/>
      <c r="D38" s="1"/>
    </row>
    <row r="39" spans="1:5" x14ac:dyDescent="0.3">
      <c r="A39" s="3" t="s">
        <v>57</v>
      </c>
      <c r="B39" s="1"/>
      <c r="C39" s="1"/>
      <c r="D39" s="1"/>
    </row>
  </sheetData>
  <mergeCells count="16">
    <mergeCell ref="A1:E1"/>
    <mergeCell ref="B4:C4"/>
    <mergeCell ref="D4:E4"/>
    <mergeCell ref="B10:C10"/>
    <mergeCell ref="D10:E10"/>
    <mergeCell ref="B22:C22"/>
    <mergeCell ref="D22:E22"/>
    <mergeCell ref="B28:C28"/>
    <mergeCell ref="D28:E28"/>
    <mergeCell ref="B16:C16"/>
    <mergeCell ref="D16:E16"/>
    <mergeCell ref="F4:G4"/>
    <mergeCell ref="F10:G10"/>
    <mergeCell ref="F16:G16"/>
    <mergeCell ref="F22:G22"/>
    <mergeCell ref="F28:G28"/>
  </mergeCells>
  <phoneticPr fontId="1" type="noConversion"/>
  <pageMargins left="0.59055118110236227" right="0.51181102362204722" top="0.6692913385826772" bottom="0.669291338582677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workbookViewId="0">
      <selection activeCell="E35" sqref="E35"/>
    </sheetView>
  </sheetViews>
  <sheetFormatPr defaultRowHeight="16.5" x14ac:dyDescent="0.3"/>
  <cols>
    <col min="1" max="2" width="9.625" customWidth="1"/>
    <col min="3" max="3" width="23.625" customWidth="1"/>
    <col min="4" max="4" width="2.625" customWidth="1"/>
    <col min="5" max="5" width="12.625" bestFit="1" customWidth="1"/>
    <col min="6" max="6" width="2.625" customWidth="1"/>
    <col min="7" max="7" width="24.5" customWidth="1"/>
    <col min="8" max="8" width="2.625" customWidth="1"/>
    <col min="9" max="9" width="12" customWidth="1"/>
    <col min="10" max="10" width="2.625" customWidth="1"/>
    <col min="13" max="13" width="24.5" customWidth="1"/>
    <col min="14" max="14" width="2.625" customWidth="1"/>
    <col min="15" max="15" width="12" customWidth="1"/>
  </cols>
  <sheetData>
    <row r="1" spans="1:15" ht="18" customHeight="1" x14ac:dyDescent="0.3">
      <c r="A1" s="12" t="s">
        <v>17</v>
      </c>
      <c r="B1" s="5"/>
      <c r="C1" s="5"/>
      <c r="D1" s="5"/>
      <c r="E1" s="5"/>
      <c r="F1" s="5"/>
      <c r="G1" s="5"/>
      <c r="H1" s="10"/>
      <c r="I1" s="5"/>
      <c r="J1" s="5"/>
      <c r="M1" s="5"/>
      <c r="N1" s="10"/>
      <c r="O1" s="5"/>
    </row>
    <row r="2" spans="1:15" ht="18" customHeight="1" x14ac:dyDescent="0.3">
      <c r="A2" s="8" t="s">
        <v>8</v>
      </c>
      <c r="B2" s="25" t="s">
        <v>9</v>
      </c>
      <c r="C2" s="25"/>
      <c r="D2" s="25"/>
      <c r="E2" s="25"/>
      <c r="F2" s="28"/>
      <c r="G2" s="19" t="s">
        <v>65</v>
      </c>
      <c r="H2" s="20"/>
      <c r="I2" s="21"/>
      <c r="J2" s="28"/>
      <c r="M2" s="19" t="s">
        <v>67</v>
      </c>
      <c r="N2" s="20"/>
      <c r="O2" s="21"/>
    </row>
    <row r="3" spans="1:15" ht="18" customHeight="1" x14ac:dyDescent="0.3">
      <c r="A3" s="25" t="s">
        <v>10</v>
      </c>
      <c r="B3" s="8" t="s">
        <v>13</v>
      </c>
      <c r="C3" s="8" t="s">
        <v>26</v>
      </c>
      <c r="D3" s="8" t="s">
        <v>15</v>
      </c>
      <c r="E3" s="13">
        <f>SUM(65190*0.2*30+246000)</f>
        <v>637140</v>
      </c>
      <c r="F3" s="29"/>
      <c r="G3" s="8" t="s">
        <v>59</v>
      </c>
      <c r="H3" s="8" t="s">
        <v>15</v>
      </c>
      <c r="I3" s="22">
        <f>SUM(65190*0.08*30+246000)</f>
        <v>402456</v>
      </c>
      <c r="J3" s="29"/>
      <c r="M3" s="17" t="s">
        <v>82</v>
      </c>
      <c r="N3" s="17" t="s">
        <v>15</v>
      </c>
      <c r="O3" s="22">
        <f>SUM(65190*0.12*30+246000)</f>
        <v>480684</v>
      </c>
    </row>
    <row r="4" spans="1:15" ht="18" customHeight="1" x14ac:dyDescent="0.3">
      <c r="A4" s="25"/>
      <c r="B4" s="8" t="s">
        <v>14</v>
      </c>
      <c r="C4" s="15" t="s">
        <v>27</v>
      </c>
      <c r="D4" s="8" t="s">
        <v>15</v>
      </c>
      <c r="E4" s="13">
        <f>SUM(65190*0.2*31+254200)</f>
        <v>658378</v>
      </c>
      <c r="F4" s="29"/>
      <c r="G4" s="8" t="s">
        <v>60</v>
      </c>
      <c r="H4" s="8" t="s">
        <v>15</v>
      </c>
      <c r="I4" s="13">
        <f>SUM(65190*0.08*31+254200)</f>
        <v>415871.19999999995</v>
      </c>
      <c r="J4" s="29"/>
      <c r="M4" s="17" t="s">
        <v>83</v>
      </c>
      <c r="N4" s="17" t="s">
        <v>15</v>
      </c>
      <c r="O4" s="13">
        <f>SUM(65190*0.12*31+254200)</f>
        <v>496706.8</v>
      </c>
    </row>
    <row r="5" spans="1:15" ht="18" customHeight="1" x14ac:dyDescent="0.3">
      <c r="A5" s="25" t="s">
        <v>11</v>
      </c>
      <c r="B5" s="8" t="s">
        <v>13</v>
      </c>
      <c r="C5" s="15" t="s">
        <v>28</v>
      </c>
      <c r="D5" s="8" t="s">
        <v>15</v>
      </c>
      <c r="E5" s="13">
        <f>SUM(60490*0.2*30+246000)</f>
        <v>608940</v>
      </c>
      <c r="F5" s="29"/>
      <c r="G5" s="8" t="s">
        <v>61</v>
      </c>
      <c r="H5" s="8" t="s">
        <v>15</v>
      </c>
      <c r="I5" s="13">
        <f>SUM(60490*0.08*30+246000)</f>
        <v>391176</v>
      </c>
      <c r="J5" s="29"/>
      <c r="M5" s="17" t="s">
        <v>84</v>
      </c>
      <c r="N5" s="17" t="s">
        <v>15</v>
      </c>
      <c r="O5" s="13">
        <f>SUM(60490*0.12*30+246000)</f>
        <v>463764</v>
      </c>
    </row>
    <row r="6" spans="1:15" ht="18" customHeight="1" x14ac:dyDescent="0.3">
      <c r="A6" s="25"/>
      <c r="B6" s="8" t="s">
        <v>14</v>
      </c>
      <c r="C6" s="15" t="s">
        <v>29</v>
      </c>
      <c r="D6" s="8" t="s">
        <v>15</v>
      </c>
      <c r="E6" s="13">
        <f>SUM(60490*0.2*31+254200)</f>
        <v>629238</v>
      </c>
      <c r="F6" s="29"/>
      <c r="G6" s="8" t="s">
        <v>62</v>
      </c>
      <c r="H6" s="8" t="s">
        <v>15</v>
      </c>
      <c r="I6" s="13">
        <f>SUM(60490*0.08*31+254200)</f>
        <v>404215.19999999995</v>
      </c>
      <c r="J6" s="29"/>
      <c r="M6" s="17" t="s">
        <v>85</v>
      </c>
      <c r="N6" s="17" t="s">
        <v>15</v>
      </c>
      <c r="O6" s="13">
        <f>SUM(60490*0.12*31+254200)</f>
        <v>479222.80000000005</v>
      </c>
    </row>
    <row r="7" spans="1:15" ht="18" customHeight="1" x14ac:dyDescent="0.3">
      <c r="A7" s="26" t="s">
        <v>23</v>
      </c>
      <c r="B7" s="8" t="s">
        <v>13</v>
      </c>
      <c r="C7" s="15" t="s">
        <v>30</v>
      </c>
      <c r="D7" s="8" t="s">
        <v>15</v>
      </c>
      <c r="E7" s="13">
        <f>SUM(55780*0.2*30+246000)</f>
        <v>580680</v>
      </c>
      <c r="F7" s="29"/>
      <c r="G7" s="8" t="s">
        <v>63</v>
      </c>
      <c r="H7" s="8" t="s">
        <v>15</v>
      </c>
      <c r="I7" s="13">
        <f>SUM(55780*0.08*30+246000)</f>
        <v>379872</v>
      </c>
      <c r="J7" s="29"/>
      <c r="M7" s="17" t="s">
        <v>86</v>
      </c>
      <c r="N7" s="17" t="s">
        <v>15</v>
      </c>
      <c r="O7" s="13">
        <f>SUM(55780*0.12*30+246000)</f>
        <v>446808</v>
      </c>
    </row>
    <row r="8" spans="1:15" ht="18" customHeight="1" x14ac:dyDescent="0.3">
      <c r="A8" s="27"/>
      <c r="B8" s="8" t="s">
        <v>14</v>
      </c>
      <c r="C8" s="15" t="s">
        <v>31</v>
      </c>
      <c r="D8" s="8" t="s">
        <v>15</v>
      </c>
      <c r="E8" s="13">
        <f>SUM(55780*0.2*31+254200)</f>
        <v>600036</v>
      </c>
      <c r="F8" s="30"/>
      <c r="G8" s="8" t="s">
        <v>64</v>
      </c>
      <c r="H8" s="8" t="s">
        <v>15</v>
      </c>
      <c r="I8" s="13">
        <f>SUM(55780*0.08*31+254200)</f>
        <v>392534.4</v>
      </c>
      <c r="J8" s="30"/>
      <c r="M8" s="17" t="s">
        <v>87</v>
      </c>
      <c r="N8" s="17" t="s">
        <v>15</v>
      </c>
      <c r="O8" s="13">
        <f>SUM(55780*0.12*31+254200)</f>
        <v>461701.6</v>
      </c>
    </row>
    <row r="9" spans="1:15" ht="15" customHeight="1" x14ac:dyDescent="0.3">
      <c r="A9" s="5"/>
      <c r="B9" s="5"/>
      <c r="C9" s="5"/>
      <c r="D9" s="5"/>
      <c r="E9" s="5"/>
      <c r="F9" s="5"/>
      <c r="G9" s="5"/>
      <c r="H9" s="10"/>
      <c r="I9" s="5"/>
      <c r="J9" s="5"/>
      <c r="M9" s="5"/>
      <c r="N9" s="10"/>
      <c r="O9" s="5"/>
    </row>
    <row r="10" spans="1:15" ht="18" customHeight="1" x14ac:dyDescent="0.3">
      <c r="A10" s="12" t="s">
        <v>18</v>
      </c>
      <c r="B10" s="5"/>
      <c r="C10" s="5"/>
      <c r="D10" s="5"/>
      <c r="E10" s="5"/>
      <c r="F10" s="5"/>
      <c r="G10" s="5"/>
      <c r="H10" s="10"/>
      <c r="I10" s="5"/>
      <c r="J10" s="5"/>
      <c r="M10" s="5"/>
      <c r="N10" s="10"/>
      <c r="O10" s="5"/>
    </row>
    <row r="11" spans="1:15" ht="18" customHeight="1" x14ac:dyDescent="0.3">
      <c r="A11" s="8" t="s">
        <v>8</v>
      </c>
      <c r="B11" s="25" t="s">
        <v>9</v>
      </c>
      <c r="C11" s="25"/>
      <c r="D11" s="25"/>
      <c r="E11" s="25"/>
      <c r="F11" s="28"/>
      <c r="G11" s="19" t="s">
        <v>65</v>
      </c>
      <c r="H11" s="20"/>
      <c r="I11" s="21"/>
      <c r="J11" s="28"/>
      <c r="M11" s="19" t="s">
        <v>68</v>
      </c>
      <c r="N11" s="20"/>
      <c r="O11" s="21"/>
    </row>
    <row r="12" spans="1:15" ht="18" customHeight="1" x14ac:dyDescent="0.3">
      <c r="A12" s="25" t="s">
        <v>10</v>
      </c>
      <c r="B12" s="8" t="s">
        <v>13</v>
      </c>
      <c r="C12" s="8" t="s">
        <v>32</v>
      </c>
      <c r="D12" s="8" t="s">
        <v>15</v>
      </c>
      <c r="E12" s="13">
        <f>SUM(65190*0.2*30)</f>
        <v>391140</v>
      </c>
      <c r="F12" s="29"/>
      <c r="G12" s="8" t="s">
        <v>70</v>
      </c>
      <c r="H12" s="8" t="s">
        <v>15</v>
      </c>
      <c r="I12" s="13">
        <f>SUM(65190*0.08*30)</f>
        <v>156456</v>
      </c>
      <c r="J12" s="29"/>
      <c r="M12" s="17" t="s">
        <v>88</v>
      </c>
      <c r="N12" s="17" t="s">
        <v>15</v>
      </c>
      <c r="O12" s="13">
        <f>SUM(65190*0.12*30)</f>
        <v>234683.99999999997</v>
      </c>
    </row>
    <row r="13" spans="1:15" ht="18" customHeight="1" x14ac:dyDescent="0.3">
      <c r="A13" s="25"/>
      <c r="B13" s="8" t="s">
        <v>14</v>
      </c>
      <c r="C13" s="8" t="s">
        <v>33</v>
      </c>
      <c r="D13" s="8" t="s">
        <v>15</v>
      </c>
      <c r="E13" s="13">
        <f>SUM(65190*0.2*31)</f>
        <v>404178</v>
      </c>
      <c r="F13" s="29"/>
      <c r="G13" s="8" t="s">
        <v>71</v>
      </c>
      <c r="H13" s="8" t="s">
        <v>15</v>
      </c>
      <c r="I13" s="13">
        <f>SUM(65190*0.08*31)</f>
        <v>161671.19999999998</v>
      </c>
      <c r="J13" s="29"/>
      <c r="M13" s="17" t="s">
        <v>89</v>
      </c>
      <c r="N13" s="17" t="s">
        <v>15</v>
      </c>
      <c r="O13" s="13">
        <f>SUM(65190*0.12*31)</f>
        <v>242506.8</v>
      </c>
    </row>
    <row r="14" spans="1:15" ht="18" customHeight="1" x14ac:dyDescent="0.3">
      <c r="A14" s="25" t="s">
        <v>11</v>
      </c>
      <c r="B14" s="8" t="s">
        <v>13</v>
      </c>
      <c r="C14" s="8" t="s">
        <v>34</v>
      </c>
      <c r="D14" s="8" t="s">
        <v>15</v>
      </c>
      <c r="E14" s="13">
        <f>SUM(60490*0.2*30)</f>
        <v>362940</v>
      </c>
      <c r="F14" s="29"/>
      <c r="G14" s="8" t="s">
        <v>72</v>
      </c>
      <c r="H14" s="8" t="s">
        <v>15</v>
      </c>
      <c r="I14" s="13">
        <f>SUM(60490*0.08*30)</f>
        <v>145176</v>
      </c>
      <c r="J14" s="29"/>
      <c r="M14" s="17" t="s">
        <v>90</v>
      </c>
      <c r="N14" s="17" t="s">
        <v>15</v>
      </c>
      <c r="O14" s="13">
        <f>SUM(60490*0.12*30)</f>
        <v>217764</v>
      </c>
    </row>
    <row r="15" spans="1:15" ht="18" customHeight="1" x14ac:dyDescent="0.3">
      <c r="A15" s="25"/>
      <c r="B15" s="8" t="s">
        <v>14</v>
      </c>
      <c r="C15" s="8" t="s">
        <v>35</v>
      </c>
      <c r="D15" s="8" t="s">
        <v>15</v>
      </c>
      <c r="E15" s="13">
        <f>SUM(60490*0.2*31)</f>
        <v>375038</v>
      </c>
      <c r="F15" s="29"/>
      <c r="G15" s="8" t="s">
        <v>73</v>
      </c>
      <c r="H15" s="8" t="s">
        <v>15</v>
      </c>
      <c r="I15" s="13">
        <f>SUM(60490*0.08*31)</f>
        <v>150015.19999999998</v>
      </c>
      <c r="J15" s="29"/>
      <c r="M15" s="17" t="s">
        <v>91</v>
      </c>
      <c r="N15" s="17" t="s">
        <v>15</v>
      </c>
      <c r="O15" s="13">
        <f>SUM(60490*0.12*31)</f>
        <v>225022.80000000002</v>
      </c>
    </row>
    <row r="16" spans="1:15" ht="18" customHeight="1" x14ac:dyDescent="0.3">
      <c r="A16" s="25" t="s">
        <v>12</v>
      </c>
      <c r="B16" s="8" t="s">
        <v>13</v>
      </c>
      <c r="C16" s="8" t="s">
        <v>36</v>
      </c>
      <c r="D16" s="8" t="s">
        <v>15</v>
      </c>
      <c r="E16" s="13">
        <f>SUM(55780*0.2*30)</f>
        <v>334680</v>
      </c>
      <c r="F16" s="29"/>
      <c r="G16" s="8" t="s">
        <v>74</v>
      </c>
      <c r="H16" s="8" t="s">
        <v>15</v>
      </c>
      <c r="I16" s="13">
        <f>SUM(55780*0.08*30)</f>
        <v>133872.00000000003</v>
      </c>
      <c r="J16" s="29"/>
      <c r="M16" s="17" t="s">
        <v>92</v>
      </c>
      <c r="N16" s="17" t="s">
        <v>15</v>
      </c>
      <c r="O16" s="13">
        <f>SUM(55780*0.12*30)</f>
        <v>200807.99999999997</v>
      </c>
    </row>
    <row r="17" spans="1:15" ht="18" customHeight="1" x14ac:dyDescent="0.3">
      <c r="A17" s="25"/>
      <c r="B17" s="8" t="s">
        <v>14</v>
      </c>
      <c r="C17" s="8" t="s">
        <v>37</v>
      </c>
      <c r="D17" s="8" t="s">
        <v>15</v>
      </c>
      <c r="E17" s="13">
        <f>SUM(55780*0.2*31)</f>
        <v>345836</v>
      </c>
      <c r="F17" s="30"/>
      <c r="G17" s="8" t="s">
        <v>75</v>
      </c>
      <c r="H17" s="8" t="s">
        <v>15</v>
      </c>
      <c r="I17" s="13">
        <f>SUM(55780*0.08*31)</f>
        <v>138334.40000000002</v>
      </c>
      <c r="J17" s="30"/>
      <c r="M17" s="17" t="s">
        <v>93</v>
      </c>
      <c r="N17" s="17" t="s">
        <v>15</v>
      </c>
      <c r="O17" s="13">
        <f>SUM(55780*0.12*31)</f>
        <v>207501.59999999998</v>
      </c>
    </row>
    <row r="18" spans="1:15" ht="15" customHeight="1" x14ac:dyDescent="0.3">
      <c r="A18" s="5"/>
      <c r="B18" s="5"/>
      <c r="C18" s="5"/>
      <c r="D18" s="5"/>
      <c r="E18" s="5"/>
      <c r="F18" s="5"/>
      <c r="G18" s="5"/>
      <c r="H18" s="10"/>
      <c r="I18" s="5"/>
      <c r="J18" s="5"/>
      <c r="M18" s="5"/>
      <c r="N18" s="10"/>
      <c r="O18" s="5"/>
    </row>
    <row r="19" spans="1:15" ht="18" customHeight="1" x14ac:dyDescent="0.3">
      <c r="A19" s="12" t="s">
        <v>19</v>
      </c>
      <c r="B19" s="5"/>
      <c r="C19" s="5"/>
      <c r="D19" s="5"/>
      <c r="E19" s="5"/>
      <c r="F19" s="5"/>
      <c r="G19" s="5"/>
      <c r="H19" s="10"/>
      <c r="I19" s="5"/>
      <c r="J19" s="5"/>
      <c r="M19" s="5"/>
      <c r="N19" s="10"/>
      <c r="O19" s="5"/>
    </row>
    <row r="20" spans="1:15" ht="18" customHeight="1" x14ac:dyDescent="0.3">
      <c r="A20" s="8" t="s">
        <v>8</v>
      </c>
      <c r="B20" s="25" t="s">
        <v>25</v>
      </c>
      <c r="C20" s="25"/>
      <c r="D20" s="25"/>
      <c r="E20" s="25"/>
      <c r="F20" s="28"/>
      <c r="G20" s="19" t="s">
        <v>66</v>
      </c>
      <c r="H20" s="20"/>
      <c r="I20" s="21"/>
      <c r="J20" s="28"/>
      <c r="M20" s="19" t="s">
        <v>69</v>
      </c>
      <c r="N20" s="20"/>
      <c r="O20" s="21"/>
    </row>
    <row r="21" spans="1:15" ht="18" customHeight="1" x14ac:dyDescent="0.3">
      <c r="A21" s="25" t="s">
        <v>10</v>
      </c>
      <c r="B21" s="8" t="s">
        <v>13</v>
      </c>
      <c r="C21" s="8" t="s">
        <v>38</v>
      </c>
      <c r="D21" s="8" t="s">
        <v>15</v>
      </c>
      <c r="E21" s="13">
        <f>SUM(65190*0.8*30)</f>
        <v>1564560</v>
      </c>
      <c r="F21" s="29"/>
      <c r="G21" s="8" t="s">
        <v>76</v>
      </c>
      <c r="H21" s="8" t="s">
        <v>15</v>
      </c>
      <c r="I21" s="13">
        <f>SUM(65190*0.92*30)</f>
        <v>1799244</v>
      </c>
      <c r="J21" s="29"/>
      <c r="M21" s="17" t="s">
        <v>94</v>
      </c>
      <c r="N21" s="17" t="s">
        <v>15</v>
      </c>
      <c r="O21" s="13">
        <f>SUM(65190*0.88*30)</f>
        <v>1721016</v>
      </c>
    </row>
    <row r="22" spans="1:15" ht="18" customHeight="1" x14ac:dyDescent="0.3">
      <c r="A22" s="25"/>
      <c r="B22" s="8" t="s">
        <v>14</v>
      </c>
      <c r="C22" s="8" t="s">
        <v>39</v>
      </c>
      <c r="D22" s="8" t="s">
        <v>15</v>
      </c>
      <c r="E22" s="13">
        <f>SUM(65190*0.8*31)</f>
        <v>1616712</v>
      </c>
      <c r="F22" s="29"/>
      <c r="G22" s="8" t="s">
        <v>77</v>
      </c>
      <c r="H22" s="8" t="s">
        <v>15</v>
      </c>
      <c r="I22" s="13">
        <f>SUM(65190*0.92*31)</f>
        <v>1859218.8</v>
      </c>
      <c r="J22" s="29"/>
      <c r="M22" s="17" t="s">
        <v>95</v>
      </c>
      <c r="N22" s="17" t="s">
        <v>15</v>
      </c>
      <c r="O22" s="13">
        <f>SUM(65190*0.88*31)</f>
        <v>1778383.2</v>
      </c>
    </row>
    <row r="23" spans="1:15" ht="18" customHeight="1" x14ac:dyDescent="0.3">
      <c r="A23" s="25" t="s">
        <v>11</v>
      </c>
      <c r="B23" s="8" t="s">
        <v>13</v>
      </c>
      <c r="C23" s="8" t="s">
        <v>40</v>
      </c>
      <c r="D23" s="8" t="s">
        <v>15</v>
      </c>
      <c r="E23" s="13">
        <f>SUM(60490*0.8*30)</f>
        <v>1451760</v>
      </c>
      <c r="F23" s="29"/>
      <c r="G23" s="8" t="s">
        <v>78</v>
      </c>
      <c r="H23" s="8" t="s">
        <v>15</v>
      </c>
      <c r="I23" s="13">
        <f>SUM(60490*0.92*30)</f>
        <v>1669524</v>
      </c>
      <c r="J23" s="29"/>
      <c r="M23" s="17" t="s">
        <v>96</v>
      </c>
      <c r="N23" s="17" t="s">
        <v>15</v>
      </c>
      <c r="O23" s="13">
        <f>SUM(60490*0.88*30)</f>
        <v>1596936</v>
      </c>
    </row>
    <row r="24" spans="1:15" ht="18" customHeight="1" x14ac:dyDescent="0.3">
      <c r="A24" s="25"/>
      <c r="B24" s="8" t="s">
        <v>14</v>
      </c>
      <c r="C24" s="8" t="s">
        <v>41</v>
      </c>
      <c r="D24" s="8" t="s">
        <v>15</v>
      </c>
      <c r="E24" s="13">
        <f>SUM(60490*0.8*31)</f>
        <v>1500152</v>
      </c>
      <c r="F24" s="29"/>
      <c r="G24" s="8" t="s">
        <v>79</v>
      </c>
      <c r="H24" s="8" t="s">
        <v>15</v>
      </c>
      <c r="I24" s="13">
        <f>SUM(60490*0.92*31)</f>
        <v>1725174.8</v>
      </c>
      <c r="J24" s="29"/>
      <c r="M24" s="17" t="s">
        <v>97</v>
      </c>
      <c r="N24" s="17" t="s">
        <v>15</v>
      </c>
      <c r="O24" s="13">
        <f>SUM(60490*0.88*31)</f>
        <v>1650167.2</v>
      </c>
    </row>
    <row r="25" spans="1:15" ht="18" customHeight="1" x14ac:dyDescent="0.3">
      <c r="A25" s="25" t="s">
        <v>12</v>
      </c>
      <c r="B25" s="8" t="s">
        <v>13</v>
      </c>
      <c r="C25" s="8" t="s">
        <v>42</v>
      </c>
      <c r="D25" s="8" t="s">
        <v>15</v>
      </c>
      <c r="E25" s="13">
        <f>SUM(55780*0.8*30)</f>
        <v>1338720</v>
      </c>
      <c r="F25" s="29"/>
      <c r="G25" s="8" t="s">
        <v>80</v>
      </c>
      <c r="H25" s="8" t="s">
        <v>15</v>
      </c>
      <c r="I25" s="13">
        <f>SUM(55780*0.92*30)</f>
        <v>1539528.0000000002</v>
      </c>
      <c r="J25" s="29"/>
      <c r="M25" s="17" t="s">
        <v>98</v>
      </c>
      <c r="N25" s="17" t="s">
        <v>15</v>
      </c>
      <c r="O25" s="13">
        <f>SUM(55780*0.88*30)</f>
        <v>1472592</v>
      </c>
    </row>
    <row r="26" spans="1:15" ht="18" customHeight="1" x14ac:dyDescent="0.3">
      <c r="A26" s="25"/>
      <c r="B26" s="8" t="s">
        <v>14</v>
      </c>
      <c r="C26" s="8" t="s">
        <v>43</v>
      </c>
      <c r="D26" s="8" t="s">
        <v>15</v>
      </c>
      <c r="E26" s="13">
        <f>SUM(55780*0.8*31)</f>
        <v>1383344</v>
      </c>
      <c r="F26" s="30"/>
      <c r="G26" s="8" t="s">
        <v>81</v>
      </c>
      <c r="H26" s="8" t="s">
        <v>15</v>
      </c>
      <c r="I26" s="13">
        <f>SUM(55780*0.92*31)</f>
        <v>1590845.6</v>
      </c>
      <c r="J26" s="30"/>
      <c r="M26" s="17" t="s">
        <v>99</v>
      </c>
      <c r="N26" s="17" t="s">
        <v>15</v>
      </c>
      <c r="O26" s="13">
        <f>SUM(55780*0.88*31)</f>
        <v>1521678.4000000001</v>
      </c>
    </row>
    <row r="28" spans="1:15" ht="24" x14ac:dyDescent="0.3">
      <c r="A28" s="14" t="s">
        <v>24</v>
      </c>
      <c r="I28" s="16" t="s">
        <v>44</v>
      </c>
      <c r="O28" s="16"/>
    </row>
  </sheetData>
  <mergeCells count="18">
    <mergeCell ref="J2:J8"/>
    <mergeCell ref="J11:J17"/>
    <mergeCell ref="J20:J26"/>
    <mergeCell ref="B20:E20"/>
    <mergeCell ref="F20:F26"/>
    <mergeCell ref="B2:E2"/>
    <mergeCell ref="F2:F8"/>
    <mergeCell ref="A25:A26"/>
    <mergeCell ref="B11:E11"/>
    <mergeCell ref="F11:F17"/>
    <mergeCell ref="A12:A13"/>
    <mergeCell ref="A14:A15"/>
    <mergeCell ref="A16:A17"/>
    <mergeCell ref="A3:A4"/>
    <mergeCell ref="A5:A6"/>
    <mergeCell ref="A7:A8"/>
    <mergeCell ref="A21:A22"/>
    <mergeCell ref="A23:A24"/>
  </mergeCells>
  <phoneticPr fontId="1" type="noConversion"/>
  <pageMargins left="0.59055118110236227" right="0.59055118110236227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등급별 일자별 본인부담금</vt:lpstr>
      <vt:lpstr>본인부담금</vt:lpstr>
      <vt:lpstr>'등급별 일자별 본인부담금'!Print_Area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</dc:creator>
  <cp:lastModifiedBy>Windows 사용자</cp:lastModifiedBy>
  <cp:lastPrinted>2018-10-23T01:40:43Z</cp:lastPrinted>
  <dcterms:created xsi:type="dcterms:W3CDTF">2013-02-09T06:08:45Z</dcterms:created>
  <dcterms:modified xsi:type="dcterms:W3CDTF">2018-10-25T03:05:57Z</dcterms:modified>
</cp:coreProperties>
</file>