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53222"/>
  <mc:AlternateContent xmlns:mc="http://schemas.openxmlformats.org/markup-compatibility/2006">
    <mc:Choice Requires="x15">
      <x15ac:absPath xmlns:x15ac="http://schemas.microsoft.com/office/spreadsheetml/2010/11/ac" url="C:\Users\home\Desktop\업체\22 예산\예산 요양원\"/>
    </mc:Choice>
  </mc:AlternateContent>
  <bookViews>
    <workbookView xWindow="0" yWindow="0" windowWidth="28800" windowHeight="11460" activeTab="2"/>
  </bookViews>
  <sheets>
    <sheet name="예산총칙" sheetId="15" r:id="rId1"/>
    <sheet name="예산총괄표" sheetId="9" r:id="rId2"/>
    <sheet name="세입명세서" sheetId="8" r:id="rId3"/>
    <sheet name="세출명세서" sheetId="2" r:id="rId4"/>
    <sheet name="보수일람표(업로드)" sheetId="17" r:id="rId5"/>
    <sheet name="인건비산정" sheetId="16" r:id="rId6"/>
    <sheet name="급여가이드" sheetId="12" r:id="rId7"/>
    <sheet name="2022년수가" sheetId="13" r:id="rId8"/>
  </sheets>
  <definedNames>
    <definedName name="_xlnm._FilterDatabase" localSheetId="5" hidden="1">인건비산정!$A$3:$U$41</definedName>
    <definedName name="_xlnm.Print_Area" localSheetId="2">세입명세서!$A$1:$Q$63</definedName>
    <definedName name="_xlnm.Print_Area" localSheetId="3">세출명세서!$A$1:$Q$79</definedName>
    <definedName name="_xlnm.Print_Area" localSheetId="0">예산총칙!$A$1:$C$21</definedName>
    <definedName name="_xlnm.Print_Titles" localSheetId="2">세입명세서!$3:$4</definedName>
    <definedName name="_xlnm.Print_Titles" localSheetId="3">세출명세서!$3:$4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2" l="1"/>
  <c r="P56" i="8"/>
  <c r="P44" i="8" l="1"/>
  <c r="L5" i="16" l="1"/>
  <c r="L6" i="16"/>
  <c r="L7" i="16"/>
  <c r="L8" i="16"/>
  <c r="L9" i="16"/>
  <c r="L10" i="16"/>
  <c r="L11" i="16"/>
  <c r="L12" i="16"/>
  <c r="L13" i="16"/>
  <c r="L14" i="16"/>
  <c r="L15" i="16"/>
  <c r="L16" i="16"/>
  <c r="L17" i="16"/>
  <c r="L18" i="16"/>
  <c r="L19" i="16"/>
  <c r="L20" i="16"/>
  <c r="L21" i="16"/>
  <c r="L22" i="16"/>
  <c r="L23" i="16"/>
  <c r="L24" i="16"/>
  <c r="L25" i="16"/>
  <c r="L26" i="16"/>
  <c r="L27" i="16"/>
  <c r="L28" i="16"/>
  <c r="L29" i="16"/>
  <c r="L30" i="16"/>
  <c r="L31" i="16"/>
  <c r="L32" i="16"/>
  <c r="L33" i="16"/>
  <c r="L34" i="16"/>
  <c r="L35" i="16"/>
  <c r="L4" i="16"/>
  <c r="J10" i="2"/>
  <c r="M7" i="12"/>
  <c r="M8" i="12"/>
  <c r="M9" i="12"/>
  <c r="M10" i="12"/>
  <c r="M11" i="12"/>
  <c r="M12" i="12"/>
  <c r="M13" i="12"/>
  <c r="M14" i="12"/>
  <c r="M15" i="12"/>
  <c r="M16" i="12"/>
  <c r="M17" i="12"/>
  <c r="M18" i="12"/>
  <c r="M19" i="12"/>
  <c r="M20" i="12"/>
  <c r="M21" i="12"/>
  <c r="M22" i="12"/>
  <c r="M23" i="12"/>
  <c r="M24" i="12"/>
  <c r="M25" i="12"/>
  <c r="M26" i="12"/>
  <c r="H16" i="2" l="1"/>
  <c r="C15" i="17" l="1"/>
  <c r="D15" i="17"/>
  <c r="C16" i="17"/>
  <c r="D16" i="17"/>
  <c r="C17" i="17"/>
  <c r="D17" i="17"/>
  <c r="C18" i="17"/>
  <c r="D18" i="17"/>
  <c r="C19" i="17"/>
  <c r="D19" i="17"/>
  <c r="C20" i="17"/>
  <c r="D20" i="17"/>
  <c r="C21" i="17"/>
  <c r="D21" i="17"/>
  <c r="C22" i="17"/>
  <c r="D22" i="17"/>
  <c r="C23" i="17"/>
  <c r="D23" i="17"/>
  <c r="C24" i="17"/>
  <c r="D24" i="17"/>
  <c r="C25" i="17"/>
  <c r="D25" i="17"/>
  <c r="C26" i="17"/>
  <c r="D26" i="17"/>
  <c r="C27" i="17"/>
  <c r="D27" i="17"/>
  <c r="D6" i="16" l="1"/>
  <c r="M22" i="16"/>
  <c r="M23" i="16"/>
  <c r="M24" i="16"/>
  <c r="M25" i="16"/>
  <c r="M26" i="16"/>
  <c r="M27" i="16"/>
  <c r="M28" i="16"/>
  <c r="M29" i="16"/>
  <c r="M30" i="16"/>
  <c r="D20" i="16"/>
  <c r="F26" i="17" s="1"/>
  <c r="M20" i="16"/>
  <c r="D21" i="16"/>
  <c r="F27" i="17" s="1"/>
  <c r="M21" i="16"/>
  <c r="M31" i="16"/>
  <c r="M32" i="16"/>
  <c r="M33" i="16"/>
  <c r="M34" i="16"/>
  <c r="M35" i="16"/>
  <c r="N34" i="16" l="1"/>
  <c r="R34" i="16"/>
  <c r="P34" i="16"/>
  <c r="Q34" i="16" s="1"/>
  <c r="R32" i="16"/>
  <c r="P32" i="16"/>
  <c r="Q32" i="16" s="1"/>
  <c r="N21" i="16"/>
  <c r="K27" i="17" s="1"/>
  <c r="R21" i="16"/>
  <c r="P21" i="16"/>
  <c r="Q21" i="16" s="1"/>
  <c r="R30" i="16"/>
  <c r="P30" i="16"/>
  <c r="Q30" i="16" s="1"/>
  <c r="N28" i="16"/>
  <c r="R28" i="16"/>
  <c r="P28" i="16"/>
  <c r="Q28" i="16" s="1"/>
  <c r="N26" i="16"/>
  <c r="R26" i="16"/>
  <c r="P26" i="16"/>
  <c r="Q26" i="16" s="1"/>
  <c r="N24" i="16"/>
  <c r="R24" i="16"/>
  <c r="P24" i="16"/>
  <c r="Q24" i="16" s="1"/>
  <c r="N22" i="16"/>
  <c r="R22" i="16"/>
  <c r="P22" i="16"/>
  <c r="Q22" i="16" s="1"/>
  <c r="N35" i="16"/>
  <c r="R35" i="16"/>
  <c r="P35" i="16"/>
  <c r="Q35" i="16" s="1"/>
  <c r="N33" i="16"/>
  <c r="R33" i="16"/>
  <c r="P33" i="16"/>
  <c r="Q33" i="16" s="1"/>
  <c r="N31" i="16"/>
  <c r="R31" i="16"/>
  <c r="P31" i="16"/>
  <c r="Q31" i="16" s="1"/>
  <c r="N20" i="16"/>
  <c r="K26" i="17" s="1"/>
  <c r="R20" i="16"/>
  <c r="P20" i="16"/>
  <c r="Q20" i="16" s="1"/>
  <c r="N29" i="16"/>
  <c r="R29" i="16"/>
  <c r="P29" i="16"/>
  <c r="Q29" i="16" s="1"/>
  <c r="R27" i="16"/>
  <c r="P27" i="16"/>
  <c r="Q27" i="16" s="1"/>
  <c r="N25" i="16"/>
  <c r="R25" i="16"/>
  <c r="P25" i="16"/>
  <c r="Q25" i="16" s="1"/>
  <c r="R23" i="16"/>
  <c r="P23" i="16"/>
  <c r="Q23" i="16" s="1"/>
  <c r="N32" i="16"/>
  <c r="N30" i="16"/>
  <c r="N27" i="16"/>
  <c r="N23" i="16"/>
  <c r="H27" i="17"/>
  <c r="H26" i="17"/>
  <c r="S28" i="16"/>
  <c r="O28" i="16"/>
  <c r="O25" i="16"/>
  <c r="S25" i="16"/>
  <c r="O22" i="16"/>
  <c r="S22" i="16"/>
  <c r="O29" i="16"/>
  <c r="S29" i="16"/>
  <c r="O24" i="16"/>
  <c r="S24" i="16"/>
  <c r="S23" i="16"/>
  <c r="O23" i="16"/>
  <c r="S30" i="16"/>
  <c r="O30" i="16"/>
  <c r="S26" i="16"/>
  <c r="O26" i="16"/>
  <c r="S27" i="16"/>
  <c r="O27" i="16"/>
  <c r="O20" i="16"/>
  <c r="S20" i="16"/>
  <c r="S33" i="16"/>
  <c r="O33" i="16"/>
  <c r="O34" i="16"/>
  <c r="S34" i="16"/>
  <c r="O21" i="16"/>
  <c r="S21" i="16"/>
  <c r="S32" i="16"/>
  <c r="S35" i="16"/>
  <c r="O35" i="16"/>
  <c r="S31" i="16"/>
  <c r="O31" i="16"/>
  <c r="O32" i="16"/>
  <c r="U27" i="16" l="1"/>
  <c r="T20" i="16"/>
  <c r="L26" i="17" s="1"/>
  <c r="T25" i="16"/>
  <c r="T23" i="16"/>
  <c r="T28" i="16"/>
  <c r="T27" i="16"/>
  <c r="T24" i="16"/>
  <c r="T26" i="16"/>
  <c r="T30" i="16"/>
  <c r="T29" i="16"/>
  <c r="T22" i="16"/>
  <c r="T32" i="16"/>
  <c r="T31" i="16"/>
  <c r="T35" i="16"/>
  <c r="T33" i="16"/>
  <c r="T21" i="16"/>
  <c r="T34" i="16"/>
  <c r="J11" i="2"/>
  <c r="M4" i="16"/>
  <c r="D21" i="8"/>
  <c r="U29" i="16" l="1"/>
  <c r="U20" i="16"/>
  <c r="U33" i="16"/>
  <c r="U24" i="16"/>
  <c r="U23" i="16"/>
  <c r="U30" i="16"/>
  <c r="U31" i="16"/>
  <c r="U22" i="16"/>
  <c r="U25" i="16"/>
  <c r="U32" i="16"/>
  <c r="U26" i="16"/>
  <c r="L27" i="17"/>
  <c r="U21" i="16"/>
  <c r="U28" i="16"/>
  <c r="U34" i="16"/>
  <c r="U35" i="16"/>
  <c r="P4" i="16"/>
  <c r="Q4" i="16" s="1"/>
  <c r="J9" i="2"/>
  <c r="J8" i="2"/>
  <c r="D11" i="17" l="1"/>
  <c r="D12" i="17"/>
  <c r="D13" i="17"/>
  <c r="D14" i="17"/>
  <c r="D10" i="17"/>
  <c r="C11" i="17"/>
  <c r="C12" i="17"/>
  <c r="C13" i="17"/>
  <c r="C14" i="17"/>
  <c r="C10" i="17"/>
  <c r="J22" i="8" l="1"/>
  <c r="J9" i="8"/>
  <c r="J8" i="8"/>
  <c r="F38" i="16" l="1"/>
  <c r="F41" i="16" s="1"/>
  <c r="G38" i="16"/>
  <c r="G41" i="16" s="1"/>
  <c r="H38" i="16"/>
  <c r="H41" i="16" s="1"/>
  <c r="I38" i="16"/>
  <c r="I41" i="16" s="1"/>
  <c r="J38" i="16"/>
  <c r="J41" i="16" s="1"/>
  <c r="K38" i="16"/>
  <c r="K41" i="16" s="1"/>
  <c r="H62" i="2" l="1"/>
  <c r="J15" i="2" l="1"/>
  <c r="J14" i="2"/>
  <c r="H9" i="2"/>
  <c r="D15" i="16"/>
  <c r="F21" i="17" s="1"/>
  <c r="D16" i="16"/>
  <c r="F22" i="17" s="1"/>
  <c r="D17" i="16"/>
  <c r="F23" i="17" s="1"/>
  <c r="D18" i="16"/>
  <c r="F24" i="17" s="1"/>
  <c r="D7" i="16"/>
  <c r="F13" i="17" s="1"/>
  <c r="M7" i="16"/>
  <c r="D19" i="16"/>
  <c r="F25" i="17" s="1"/>
  <c r="D8" i="16"/>
  <c r="F14" i="17" s="1"/>
  <c r="M8" i="16"/>
  <c r="D5" i="16"/>
  <c r="F11" i="17" s="1"/>
  <c r="M5" i="16"/>
  <c r="F12" i="17"/>
  <c r="M6" i="16"/>
  <c r="D11" i="16"/>
  <c r="F17" i="17" s="1"/>
  <c r="D10" i="16"/>
  <c r="F16" i="17" s="1"/>
  <c r="D12" i="16"/>
  <c r="F18" i="17" s="1"/>
  <c r="D13" i="16"/>
  <c r="F19" i="17" s="1"/>
  <c r="D4" i="16"/>
  <c r="F10" i="17" s="1"/>
  <c r="H10" i="17"/>
  <c r="N7" i="16" l="1"/>
  <c r="P7" i="16"/>
  <c r="Q7" i="16" s="1"/>
  <c r="N5" i="16"/>
  <c r="K11" i="17" s="1"/>
  <c r="P5" i="16"/>
  <c r="Q5" i="16" s="1"/>
  <c r="N6" i="16"/>
  <c r="P6" i="16"/>
  <c r="Q6" i="16" s="1"/>
  <c r="N8" i="16"/>
  <c r="K14" i="17" s="1"/>
  <c r="P8" i="16"/>
  <c r="Q8" i="16" s="1"/>
  <c r="H14" i="17"/>
  <c r="H11" i="17"/>
  <c r="H12" i="17"/>
  <c r="H13" i="17"/>
  <c r="K12" i="17"/>
  <c r="M13" i="16"/>
  <c r="M10" i="16"/>
  <c r="M19" i="16"/>
  <c r="M18" i="16"/>
  <c r="M16" i="16"/>
  <c r="M12" i="16"/>
  <c r="M11" i="16"/>
  <c r="M17" i="16"/>
  <c r="M15" i="16"/>
  <c r="S4" i="16"/>
  <c r="O5" i="16"/>
  <c r="O4" i="16"/>
  <c r="S8" i="16"/>
  <c r="R8" i="16"/>
  <c r="O8" i="16"/>
  <c r="K13" i="17"/>
  <c r="O7" i="16"/>
  <c r="R7" i="16"/>
  <c r="S7" i="16"/>
  <c r="S6" i="16"/>
  <c r="R6" i="16"/>
  <c r="O6" i="16"/>
  <c r="S5" i="16"/>
  <c r="K10" i="17"/>
  <c r="R4" i="16"/>
  <c r="R5" i="16"/>
  <c r="L3" i="13"/>
  <c r="H10" i="8" s="1"/>
  <c r="P10" i="16" l="1"/>
  <c r="Q10" i="16" s="1"/>
  <c r="R15" i="16"/>
  <c r="P15" i="16"/>
  <c r="Q15" i="16" s="1"/>
  <c r="R13" i="16"/>
  <c r="P13" i="16"/>
  <c r="Q13" i="16" s="1"/>
  <c r="N12" i="16"/>
  <c r="K18" i="17" s="1"/>
  <c r="R12" i="16"/>
  <c r="P12" i="16"/>
  <c r="Q12" i="16" s="1"/>
  <c r="N16" i="16"/>
  <c r="K22" i="17" s="1"/>
  <c r="R16" i="16"/>
  <c r="P16" i="16"/>
  <c r="Q16" i="16" s="1"/>
  <c r="R17" i="16"/>
  <c r="P17" i="16"/>
  <c r="Q17" i="16" s="1"/>
  <c r="R18" i="16"/>
  <c r="P18" i="16"/>
  <c r="Q18" i="16" s="1"/>
  <c r="S11" i="16"/>
  <c r="P11" i="16"/>
  <c r="Q11" i="16" s="1"/>
  <c r="R11" i="16"/>
  <c r="R19" i="16"/>
  <c r="P19" i="16"/>
  <c r="Q19" i="16" s="1"/>
  <c r="S16" i="16"/>
  <c r="H16" i="17"/>
  <c r="N10" i="16"/>
  <c r="K16" i="17" s="1"/>
  <c r="H21" i="17"/>
  <c r="N15" i="16"/>
  <c r="H19" i="17"/>
  <c r="N13" i="16"/>
  <c r="K19" i="17" s="1"/>
  <c r="H24" i="17"/>
  <c r="N18" i="16"/>
  <c r="K24" i="17" s="1"/>
  <c r="H23" i="17"/>
  <c r="N17" i="16"/>
  <c r="K23" i="17" s="1"/>
  <c r="H17" i="17"/>
  <c r="N11" i="16"/>
  <c r="K17" i="17" s="1"/>
  <c r="H25" i="17"/>
  <c r="N19" i="16"/>
  <c r="K25" i="17" s="1"/>
  <c r="H18" i="17"/>
  <c r="O16" i="16"/>
  <c r="H22" i="17"/>
  <c r="O15" i="16"/>
  <c r="O13" i="16"/>
  <c r="O19" i="16"/>
  <c r="S19" i="16"/>
  <c r="O18" i="16"/>
  <c r="S18" i="16"/>
  <c r="S17" i="16"/>
  <c r="O17" i="16"/>
  <c r="S13" i="16"/>
  <c r="S12" i="16"/>
  <c r="S15" i="16"/>
  <c r="O11" i="16"/>
  <c r="O12" i="16"/>
  <c r="T7" i="16"/>
  <c r="L13" i="17" s="1"/>
  <c r="R10" i="16"/>
  <c r="O10" i="16"/>
  <c r="S10" i="16"/>
  <c r="T8" i="16"/>
  <c r="T6" i="16"/>
  <c r="L12" i="17" s="1"/>
  <c r="T5" i="16"/>
  <c r="L11" i="17" s="1"/>
  <c r="D9" i="16"/>
  <c r="F15" i="17" s="1"/>
  <c r="D14" i="16"/>
  <c r="F20" i="17" s="1"/>
  <c r="U7" i="16" l="1"/>
  <c r="K21" i="17"/>
  <c r="L14" i="17"/>
  <c r="U8" i="16"/>
  <c r="U5" i="16"/>
  <c r="U6" i="16"/>
  <c r="T16" i="16"/>
  <c r="L22" i="17" s="1"/>
  <c r="T13" i="16"/>
  <c r="T19" i="16"/>
  <c r="T18" i="16"/>
  <c r="L24" i="17" s="1"/>
  <c r="T17" i="16"/>
  <c r="L23" i="17" s="1"/>
  <c r="T12" i="16"/>
  <c r="L18" i="17" s="1"/>
  <c r="T11" i="16"/>
  <c r="L17" i="17" s="1"/>
  <c r="T15" i="16"/>
  <c r="L21" i="17" s="1"/>
  <c r="G36" i="16"/>
  <c r="F40" i="16"/>
  <c r="I39" i="16"/>
  <c r="I36" i="16"/>
  <c r="J39" i="16"/>
  <c r="F36" i="16"/>
  <c r="G39" i="16"/>
  <c r="K36" i="16"/>
  <c r="H36" i="16"/>
  <c r="G40" i="16"/>
  <c r="G37" i="16"/>
  <c r="H40" i="16"/>
  <c r="J36" i="16"/>
  <c r="K39" i="16"/>
  <c r="I37" i="16"/>
  <c r="F37" i="16"/>
  <c r="K40" i="16"/>
  <c r="K37" i="16"/>
  <c r="H37" i="16"/>
  <c r="I40" i="16"/>
  <c r="H39" i="16"/>
  <c r="J37" i="16"/>
  <c r="E40" i="16"/>
  <c r="F39" i="16"/>
  <c r="E39" i="16"/>
  <c r="J40" i="16"/>
  <c r="T10" i="16"/>
  <c r="T4" i="16"/>
  <c r="U11" i="16" l="1"/>
  <c r="L16" i="17"/>
  <c r="U10" i="16"/>
  <c r="L25" i="17"/>
  <c r="U19" i="16"/>
  <c r="U17" i="16"/>
  <c r="U18" i="16"/>
  <c r="U12" i="16"/>
  <c r="L19" i="17"/>
  <c r="U13" i="16"/>
  <c r="U16" i="16"/>
  <c r="U15" i="16"/>
  <c r="L10" i="17"/>
  <c r="U4" i="16"/>
  <c r="E3" i="13"/>
  <c r="H13" i="2" l="1"/>
  <c r="H11" i="2"/>
  <c r="H8" i="2"/>
  <c r="P57" i="8" l="1"/>
  <c r="E57" i="8" s="1"/>
  <c r="F57" i="8" s="1"/>
  <c r="G26" i="12" l="1"/>
  <c r="N26" i="12" s="1"/>
  <c r="G25" i="12"/>
  <c r="N25" i="12" s="1"/>
  <c r="G24" i="12"/>
  <c r="N24" i="12" s="1"/>
  <c r="G23" i="12"/>
  <c r="N23" i="12" s="1"/>
  <c r="G22" i="12"/>
  <c r="N22" i="12" s="1"/>
  <c r="G21" i="12"/>
  <c r="N21" i="12" s="1"/>
  <c r="G20" i="12"/>
  <c r="N20" i="12" s="1"/>
  <c r="G19" i="12"/>
  <c r="N19" i="12" s="1"/>
  <c r="G18" i="12"/>
  <c r="N18" i="12" s="1"/>
  <c r="G17" i="12"/>
  <c r="N17" i="12" s="1"/>
  <c r="G16" i="12"/>
  <c r="N16" i="12" s="1"/>
  <c r="G15" i="12"/>
  <c r="N15" i="12" s="1"/>
  <c r="G14" i="12"/>
  <c r="N14" i="12" s="1"/>
  <c r="G13" i="12"/>
  <c r="N13" i="12" s="1"/>
  <c r="G12" i="12"/>
  <c r="N12" i="12" s="1"/>
  <c r="G11" i="12"/>
  <c r="N11" i="12" s="1"/>
  <c r="G10" i="12"/>
  <c r="N10" i="12" s="1"/>
  <c r="G9" i="12"/>
  <c r="G8" i="12"/>
  <c r="G7" i="12"/>
  <c r="M6" i="12"/>
  <c r="G6" i="12"/>
  <c r="M5" i="12"/>
  <c r="G5" i="12"/>
  <c r="M4" i="12"/>
  <c r="G4" i="12"/>
  <c r="N9" i="12" l="1"/>
  <c r="N4" i="12"/>
  <c r="N5" i="12"/>
  <c r="N6" i="12"/>
  <c r="N7" i="12"/>
  <c r="N8" i="12"/>
  <c r="D41" i="2"/>
  <c r="D40" i="2" s="1"/>
  <c r="D46" i="2"/>
  <c r="D51" i="2"/>
  <c r="D54" i="2"/>
  <c r="D53" i="2" s="1"/>
  <c r="I11" i="9" s="1"/>
  <c r="D58" i="2"/>
  <c r="D57" i="2" s="1"/>
  <c r="D61" i="2"/>
  <c r="D60" i="2" s="1"/>
  <c r="D65" i="2"/>
  <c r="D64" i="2" s="1"/>
  <c r="D68" i="2"/>
  <c r="D67" i="2" s="1"/>
  <c r="D72" i="2"/>
  <c r="D71" i="2" s="1"/>
  <c r="D76" i="2"/>
  <c r="D75" i="2" s="1"/>
  <c r="D6" i="2"/>
  <c r="D23" i="2"/>
  <c r="D27" i="2"/>
  <c r="D45" i="2" l="1"/>
  <c r="G62" i="2"/>
  <c r="G63" i="2"/>
  <c r="J16" i="2" l="1"/>
  <c r="J13" i="2"/>
  <c r="J10" i="8"/>
  <c r="J13" i="8" s="1"/>
  <c r="L40" i="16" l="1"/>
  <c r="L37" i="16"/>
  <c r="L38" i="16"/>
  <c r="L41" i="16" s="1"/>
  <c r="L36" i="16"/>
  <c r="L39" i="16"/>
  <c r="M14" i="16"/>
  <c r="M9" i="16"/>
  <c r="K2" i="2"/>
  <c r="A2" i="2"/>
  <c r="K2" i="8"/>
  <c r="A2" i="8"/>
  <c r="M8" i="2"/>
  <c r="M29" i="8"/>
  <c r="M30" i="8"/>
  <c r="P9" i="16" l="1"/>
  <c r="Q9" i="16" s="1"/>
  <c r="N14" i="16"/>
  <c r="K20" i="17" s="1"/>
  <c r="R14" i="16"/>
  <c r="P14" i="16"/>
  <c r="Q14" i="16" s="1"/>
  <c r="H15" i="17"/>
  <c r="N9" i="16"/>
  <c r="K15" i="17" s="1"/>
  <c r="H20" i="17"/>
  <c r="M40" i="16"/>
  <c r="M37" i="16"/>
  <c r="M36" i="16"/>
  <c r="M38" i="16"/>
  <c r="M41" i="16" s="1"/>
  <c r="M39" i="16"/>
  <c r="O9" i="16"/>
  <c r="R9" i="16"/>
  <c r="S9" i="16"/>
  <c r="O14" i="16"/>
  <c r="S14" i="16"/>
  <c r="M36" i="2"/>
  <c r="P36" i="2" s="1"/>
  <c r="M34" i="2"/>
  <c r="P34" i="2" s="1"/>
  <c r="M30" i="2"/>
  <c r="P30" i="2" s="1"/>
  <c r="M38" i="2"/>
  <c r="P38" i="2" s="1"/>
  <c r="M33" i="2"/>
  <c r="P33" i="2" s="1"/>
  <c r="M31" i="2"/>
  <c r="P31" i="2" s="1"/>
  <c r="M18" i="2"/>
  <c r="M16" i="2"/>
  <c r="M13" i="2"/>
  <c r="M62" i="2"/>
  <c r="M17" i="2"/>
  <c r="M11" i="2"/>
  <c r="M9" i="2"/>
  <c r="M10" i="2" s="1"/>
  <c r="P10" i="2" s="1"/>
  <c r="S37" i="16" l="1"/>
  <c r="S40" i="16"/>
  <c r="N37" i="16"/>
  <c r="N40" i="16"/>
  <c r="R40" i="16"/>
  <c r="R37" i="16"/>
  <c r="P40" i="16"/>
  <c r="P37" i="16"/>
  <c r="O40" i="16"/>
  <c r="O37" i="16"/>
  <c r="S39" i="16"/>
  <c r="S38" i="16"/>
  <c r="S41" i="16" s="1"/>
  <c r="S36" i="16"/>
  <c r="O36" i="16"/>
  <c r="O38" i="16"/>
  <c r="O41" i="16" s="1"/>
  <c r="O39" i="16"/>
  <c r="R36" i="16"/>
  <c r="R38" i="16"/>
  <c r="R41" i="16" s="1"/>
  <c r="R39" i="16"/>
  <c r="N39" i="16"/>
  <c r="N36" i="16"/>
  <c r="N38" i="16"/>
  <c r="N41" i="16" s="1"/>
  <c r="P36" i="16"/>
  <c r="P39" i="16"/>
  <c r="P38" i="16"/>
  <c r="P41" i="16" s="1"/>
  <c r="M15" i="2"/>
  <c r="P15" i="2" s="1"/>
  <c r="M14" i="2"/>
  <c r="P14" i="2" s="1"/>
  <c r="T9" i="16"/>
  <c r="L15" i="17" l="1"/>
  <c r="U9" i="16"/>
  <c r="Q40" i="16"/>
  <c r="Q37" i="16"/>
  <c r="Q38" i="16"/>
  <c r="Q41" i="16" s="1"/>
  <c r="Q39" i="16"/>
  <c r="Q36" i="16"/>
  <c r="T14" i="16"/>
  <c r="E38" i="16"/>
  <c r="L20" i="17" l="1"/>
  <c r="U14" i="16"/>
  <c r="T37" i="16"/>
  <c r="T40" i="16"/>
  <c r="T38" i="16"/>
  <c r="T41" i="16" s="1"/>
  <c r="T36" i="16"/>
  <c r="T39" i="16"/>
  <c r="E41" i="16"/>
  <c r="J21" i="2"/>
  <c r="J17" i="2"/>
  <c r="J19" i="2"/>
  <c r="J22" i="2"/>
  <c r="E37" i="16"/>
  <c r="E36" i="16"/>
  <c r="U37" i="16" l="1"/>
  <c r="U40" i="16"/>
  <c r="U39" i="16"/>
  <c r="U36" i="16"/>
  <c r="U38" i="16"/>
  <c r="U41" i="16" s="1"/>
  <c r="H17" i="2"/>
  <c r="P9" i="2" l="1"/>
  <c r="P11" i="2"/>
  <c r="P13" i="2"/>
  <c r="P16" i="2"/>
  <c r="H20" i="2" l="1"/>
  <c r="P12" i="2"/>
  <c r="H19" i="2"/>
  <c r="H22" i="2" l="1"/>
  <c r="H21" i="2"/>
  <c r="M22" i="2" l="1"/>
  <c r="M21" i="2"/>
  <c r="M20" i="2"/>
  <c r="M19" i="2"/>
  <c r="E15" i="13" l="1"/>
  <c r="G15" i="13" s="1"/>
  <c r="F14" i="13"/>
  <c r="H34" i="8" s="1"/>
  <c r="E14" i="13"/>
  <c r="F13" i="13"/>
  <c r="H33" i="8" s="1"/>
  <c r="E13" i="13"/>
  <c r="F12" i="13"/>
  <c r="H32" i="8" s="1"/>
  <c r="E12" i="13"/>
  <c r="G12" i="13" s="1"/>
  <c r="F11" i="13"/>
  <c r="E11" i="13"/>
  <c r="F10" i="13"/>
  <c r="E10" i="13"/>
  <c r="G10" i="13" s="1"/>
  <c r="F9" i="13"/>
  <c r="E9" i="13"/>
  <c r="F8" i="13"/>
  <c r="E8" i="13"/>
  <c r="F7" i="13"/>
  <c r="E7" i="13"/>
  <c r="G7" i="13" s="1"/>
  <c r="F6" i="13"/>
  <c r="E6" i="13"/>
  <c r="F5" i="13"/>
  <c r="H31" i="8" s="1"/>
  <c r="E5" i="13"/>
  <c r="G5" i="13" s="1"/>
  <c r="F4" i="13"/>
  <c r="H30" i="8" s="1"/>
  <c r="E4" i="13"/>
  <c r="G4" i="13" s="1"/>
  <c r="F3" i="13"/>
  <c r="H29" i="8" s="1"/>
  <c r="G14" i="13" l="1"/>
  <c r="G9" i="13"/>
  <c r="G6" i="13"/>
  <c r="G8" i="13"/>
  <c r="G11" i="13"/>
  <c r="G13" i="13"/>
  <c r="G3" i="13"/>
  <c r="H7" i="8"/>
  <c r="H9" i="8"/>
  <c r="H8" i="8"/>
  <c r="P20" i="2" l="1"/>
  <c r="P22" i="2" l="1"/>
  <c r="M32" i="8" l="1"/>
  <c r="M33" i="8"/>
  <c r="P32" i="8" l="1"/>
  <c r="P33" i="8" l="1"/>
  <c r="P19" i="2" l="1"/>
  <c r="E19" i="2" s="1"/>
  <c r="M55" i="2"/>
  <c r="P55" i="2" s="1"/>
  <c r="E55" i="2" s="1"/>
  <c r="D60" i="8"/>
  <c r="D59" i="8" s="1"/>
  <c r="D53" i="8"/>
  <c r="D52" i="8" s="1"/>
  <c r="D48" i="8"/>
  <c r="D47" i="8" s="1"/>
  <c r="D42" i="8"/>
  <c r="D41" i="8" s="1"/>
  <c r="D38" i="8"/>
  <c r="D37" i="8" s="1"/>
  <c r="D28" i="8"/>
  <c r="D27" i="8" s="1"/>
  <c r="D24" i="8"/>
  <c r="D23" i="8" s="1"/>
  <c r="D20" i="8"/>
  <c r="D18" i="8"/>
  <c r="D17" i="8" s="1"/>
  <c r="D15" i="8"/>
  <c r="D14" i="8" s="1"/>
  <c r="D6" i="8"/>
  <c r="D5" i="8" s="1"/>
  <c r="P21" i="2" l="1"/>
  <c r="E21" i="2" s="1"/>
  <c r="F55" i="2"/>
  <c r="D63" i="8"/>
  <c r="P18" i="2" l="1"/>
  <c r="M36" i="8" l="1"/>
  <c r="P36" i="8" s="1"/>
  <c r="E36" i="8" s="1"/>
  <c r="F36" i="8" s="1"/>
  <c r="M34" i="8" l="1"/>
  <c r="P34" i="8" s="1"/>
  <c r="M31" i="8"/>
  <c r="P31" i="8" s="1"/>
  <c r="P30" i="8"/>
  <c r="P29" i="8"/>
  <c r="M10" i="8"/>
  <c r="M11" i="8"/>
  <c r="P11" i="8" s="1"/>
  <c r="E11" i="8" s="1"/>
  <c r="F11" i="8" s="1"/>
  <c r="M12" i="8"/>
  <c r="M62" i="8"/>
  <c r="M61" i="8"/>
  <c r="M58" i="8"/>
  <c r="M56" i="8"/>
  <c r="M55" i="8"/>
  <c r="M54" i="8"/>
  <c r="M50" i="8"/>
  <c r="M46" i="8"/>
  <c r="M45" i="8"/>
  <c r="M44" i="8"/>
  <c r="M43" i="8"/>
  <c r="M35" i="8"/>
  <c r="M26" i="8"/>
  <c r="M25" i="8"/>
  <c r="M22" i="8"/>
  <c r="M19" i="8"/>
  <c r="M16" i="8"/>
  <c r="M9" i="8"/>
  <c r="M13" i="8"/>
  <c r="P13" i="8" s="1"/>
  <c r="M8" i="8"/>
  <c r="E29" i="8" l="1"/>
  <c r="H35" i="8" s="1"/>
  <c r="P35" i="8" s="1"/>
  <c r="P50" i="8"/>
  <c r="E50" i="8" s="1"/>
  <c r="F50" i="8" s="1"/>
  <c r="P9" i="8"/>
  <c r="M78" i="2"/>
  <c r="M77" i="2"/>
  <c r="M74" i="2"/>
  <c r="M73" i="2"/>
  <c r="M70" i="2"/>
  <c r="M63" i="2"/>
  <c r="M59" i="2"/>
  <c r="M56" i="2"/>
  <c r="M52" i="2"/>
  <c r="M48" i="2"/>
  <c r="M49" i="2"/>
  <c r="M50" i="2"/>
  <c r="M47" i="2"/>
  <c r="M43" i="2"/>
  <c r="M44" i="2"/>
  <c r="M42" i="2"/>
  <c r="M29" i="2"/>
  <c r="M32" i="2"/>
  <c r="M35" i="2"/>
  <c r="M37" i="2"/>
  <c r="M39" i="2"/>
  <c r="M28" i="2"/>
  <c r="M25" i="2"/>
  <c r="M26" i="2"/>
  <c r="M24" i="2"/>
  <c r="P17" i="2"/>
  <c r="P8" i="8"/>
  <c r="F29" i="8" l="1"/>
  <c r="D9" i="9"/>
  <c r="D15" i="9"/>
  <c r="D14" i="9"/>
  <c r="D13" i="9"/>
  <c r="D12" i="9"/>
  <c r="D11" i="9"/>
  <c r="D10" i="9"/>
  <c r="D8" i="9"/>
  <c r="D7" i="9"/>
  <c r="D5" i="9"/>
  <c r="I16" i="9" l="1"/>
  <c r="I15" i="9"/>
  <c r="I14" i="9"/>
  <c r="I13" i="9"/>
  <c r="I10" i="9"/>
  <c r="I8" i="9"/>
  <c r="I7" i="9"/>
  <c r="I6" i="9"/>
  <c r="D5" i="2" l="1"/>
  <c r="D79" i="2" s="1"/>
  <c r="I9" i="9"/>
  <c r="I12" i="9"/>
  <c r="I17" i="9"/>
  <c r="P62" i="2"/>
  <c r="E62" i="2" s="1"/>
  <c r="P52" i="2"/>
  <c r="E52" i="2" s="1"/>
  <c r="P50" i="2"/>
  <c r="E50" i="2" s="1"/>
  <c r="F50" i="2" s="1"/>
  <c r="P48" i="2"/>
  <c r="E48" i="2" s="1"/>
  <c r="F48" i="2" s="1"/>
  <c r="P25" i="2"/>
  <c r="E25" i="2" s="1"/>
  <c r="P44" i="2"/>
  <c r="E44" i="2" s="1"/>
  <c r="P43" i="2"/>
  <c r="E43" i="2" s="1"/>
  <c r="F43" i="2" s="1"/>
  <c r="P42" i="2"/>
  <c r="E42" i="2" s="1"/>
  <c r="F42" i="2" s="1"/>
  <c r="P39" i="2"/>
  <c r="P37" i="2"/>
  <c r="E37" i="2" s="1"/>
  <c r="F37" i="2" s="1"/>
  <c r="P35" i="2"/>
  <c r="P32" i="2"/>
  <c r="P29" i="2"/>
  <c r="P28" i="2"/>
  <c r="E28" i="2" s="1"/>
  <c r="F28" i="2" s="1"/>
  <c r="P26" i="2"/>
  <c r="E26" i="2" s="1"/>
  <c r="P24" i="2"/>
  <c r="E24" i="2" s="1"/>
  <c r="E32" i="2" l="1"/>
  <c r="F32" i="2" s="1"/>
  <c r="E29" i="2"/>
  <c r="F29" i="2" s="1"/>
  <c r="E35" i="2"/>
  <c r="F35" i="2" s="1"/>
  <c r="E38" i="2"/>
  <c r="F38" i="2" s="1"/>
  <c r="I5" i="9"/>
  <c r="I18" i="9" s="1"/>
  <c r="E41" i="2"/>
  <c r="F44" i="2"/>
  <c r="F52" i="2"/>
  <c r="E51" i="2"/>
  <c r="E23" i="2"/>
  <c r="P62" i="8"/>
  <c r="E62" i="8" s="1"/>
  <c r="F62" i="8" s="1"/>
  <c r="P61" i="8"/>
  <c r="E61" i="8" s="1"/>
  <c r="F61" i="8" s="1"/>
  <c r="P58" i="8"/>
  <c r="E58" i="8" s="1"/>
  <c r="F58" i="8" s="1"/>
  <c r="E56" i="8"/>
  <c r="F56" i="8" s="1"/>
  <c r="P55" i="8"/>
  <c r="E55" i="8" s="1"/>
  <c r="F55" i="8" s="1"/>
  <c r="P54" i="8"/>
  <c r="E54" i="8" s="1"/>
  <c r="F54" i="8" s="1"/>
  <c r="P51" i="8"/>
  <c r="E51" i="8" s="1"/>
  <c r="F51" i="8" s="1"/>
  <c r="P49" i="8"/>
  <c r="E49" i="8" s="1"/>
  <c r="F49" i="8" s="1"/>
  <c r="P46" i="8"/>
  <c r="E46" i="8" s="1"/>
  <c r="F46" i="8" s="1"/>
  <c r="P45" i="8"/>
  <c r="E45" i="8" s="1"/>
  <c r="F45" i="8" s="1"/>
  <c r="E44" i="8"/>
  <c r="F44" i="8" s="1"/>
  <c r="P43" i="8"/>
  <c r="E43" i="8" s="1"/>
  <c r="F43" i="8" s="1"/>
  <c r="P40" i="8"/>
  <c r="E40" i="8" s="1"/>
  <c r="P39" i="8"/>
  <c r="E39" i="8" s="1"/>
  <c r="F39" i="8" s="1"/>
  <c r="P26" i="8"/>
  <c r="E26" i="8" s="1"/>
  <c r="F26" i="8" s="1"/>
  <c r="P25" i="8"/>
  <c r="E25" i="8" s="1"/>
  <c r="F25" i="8" s="1"/>
  <c r="P22" i="8"/>
  <c r="E22" i="8" s="1"/>
  <c r="P19" i="8"/>
  <c r="E19" i="8" s="1"/>
  <c r="P16" i="8"/>
  <c r="E16" i="8" s="1"/>
  <c r="P7" i="8"/>
  <c r="E7" i="8" s="1"/>
  <c r="P78" i="2"/>
  <c r="P77" i="2"/>
  <c r="E77" i="2" s="1"/>
  <c r="P74" i="2"/>
  <c r="E74" i="2" s="1"/>
  <c r="P73" i="2"/>
  <c r="E73" i="2" s="1"/>
  <c r="P70" i="2"/>
  <c r="E70" i="2" s="1"/>
  <c r="F70" i="2" s="1"/>
  <c r="P59" i="2"/>
  <c r="E59" i="2" s="1"/>
  <c r="P56" i="2"/>
  <c r="E56" i="2" s="1"/>
  <c r="P8" i="2"/>
  <c r="P7" i="2" s="1"/>
  <c r="E7" i="2" s="1"/>
  <c r="E43" i="16" s="1"/>
  <c r="F40" i="8" l="1"/>
  <c r="H63" i="2"/>
  <c r="P63" i="2" s="1"/>
  <c r="E63" i="2" s="1"/>
  <c r="F63" i="2" s="1"/>
  <c r="E21" i="8"/>
  <c r="F21" i="8" s="1"/>
  <c r="E27" i="2"/>
  <c r="F27" i="2" s="1"/>
  <c r="K7" i="9" s="1"/>
  <c r="F22" i="8"/>
  <c r="F56" i="2"/>
  <c r="E54" i="2"/>
  <c r="J11" i="9" s="1"/>
  <c r="E78" i="2"/>
  <c r="F78" i="2" s="1"/>
  <c r="E72" i="2"/>
  <c r="J16" i="9" s="1"/>
  <c r="F7" i="8"/>
  <c r="F51" i="2"/>
  <c r="K10" i="9" s="1"/>
  <c r="J10" i="9"/>
  <c r="F41" i="2"/>
  <c r="K8" i="9" s="1"/>
  <c r="J8" i="9"/>
  <c r="B12" i="15" s="1"/>
  <c r="F23" i="2"/>
  <c r="K6" i="9" s="1"/>
  <c r="J6" i="9"/>
  <c r="F16" i="8"/>
  <c r="E15" i="8"/>
  <c r="F19" i="8"/>
  <c r="E18" i="8"/>
  <c r="E38" i="8"/>
  <c r="F59" i="2"/>
  <c r="E58" i="2"/>
  <c r="F73" i="2"/>
  <c r="F77" i="2"/>
  <c r="E24" i="8"/>
  <c r="E42" i="8"/>
  <c r="E48" i="8"/>
  <c r="E53" i="8"/>
  <c r="E60" i="8"/>
  <c r="F74" i="2"/>
  <c r="E40" i="2"/>
  <c r="F40" i="2" s="1"/>
  <c r="J7" i="9" l="1"/>
  <c r="E76" i="2"/>
  <c r="J17" i="9" s="1"/>
  <c r="E57" i="2"/>
  <c r="F57" i="2" s="1"/>
  <c r="J12" i="9"/>
  <c r="D6" i="9"/>
  <c r="D18" i="9" s="1"/>
  <c r="E14" i="8"/>
  <c r="F15" i="8"/>
  <c r="F38" i="8"/>
  <c r="E37" i="8"/>
  <c r="F18" i="8"/>
  <c r="E17" i="8"/>
  <c r="F53" i="8"/>
  <c r="E52" i="8"/>
  <c r="F42" i="8"/>
  <c r="E41" i="8"/>
  <c r="E23" i="8"/>
  <c r="F24" i="8"/>
  <c r="F60" i="8"/>
  <c r="E59" i="8"/>
  <c r="F48" i="8"/>
  <c r="E47" i="8"/>
  <c r="E20" i="8"/>
  <c r="E8" i="9" s="1"/>
  <c r="B8" i="15" s="1"/>
  <c r="E61" i="2"/>
  <c r="J13" i="9" s="1"/>
  <c r="F62" i="2"/>
  <c r="F58" i="2"/>
  <c r="K12" i="9" s="1"/>
  <c r="F54" i="2"/>
  <c r="K11" i="9" s="1"/>
  <c r="F23" i="8" l="1"/>
  <c r="F9" i="9" s="1"/>
  <c r="E9" i="9"/>
  <c r="F14" i="8"/>
  <c r="F6" i="9" s="1"/>
  <c r="E6" i="9"/>
  <c r="F47" i="8"/>
  <c r="F13" i="9" s="1"/>
  <c r="E13" i="9"/>
  <c r="F59" i="8"/>
  <c r="F15" i="9" s="1"/>
  <c r="E15" i="9"/>
  <c r="F41" i="8"/>
  <c r="F12" i="9" s="1"/>
  <c r="E12" i="9"/>
  <c r="F52" i="8"/>
  <c r="F14" i="9" s="1"/>
  <c r="E14" i="9"/>
  <c r="F17" i="8"/>
  <c r="F7" i="9" s="1"/>
  <c r="E7" i="9"/>
  <c r="F37" i="8"/>
  <c r="F11" i="9" s="1"/>
  <c r="E11" i="9"/>
  <c r="F20" i="8"/>
  <c r="F8" i="9" s="1"/>
  <c r="F61" i="2"/>
  <c r="K13" i="9" s="1"/>
  <c r="E60" i="2"/>
  <c r="F60" i="2" s="1"/>
  <c r="E53" i="2"/>
  <c r="F53" i="2" s="1"/>
  <c r="F76" i="2" l="1"/>
  <c r="K17" i="9" s="1"/>
  <c r="E75" i="2"/>
  <c r="F75" i="2" s="1"/>
  <c r="F72" i="2"/>
  <c r="K16" i="9" s="1"/>
  <c r="E71" i="2" l="1"/>
  <c r="F71" i="2" l="1"/>
  <c r="P66" i="2" l="1"/>
  <c r="E66" i="2" s="1"/>
  <c r="E17" i="2" l="1"/>
  <c r="F7" i="2"/>
  <c r="F66" i="2"/>
  <c r="E65" i="2"/>
  <c r="F17" i="2" l="1"/>
  <c r="F65" i="2"/>
  <c r="K14" i="9" s="1"/>
  <c r="J14" i="9"/>
  <c r="E64" i="2"/>
  <c r="F64" i="2" l="1"/>
  <c r="F19" i="2" l="1"/>
  <c r="F21" i="2" l="1"/>
  <c r="E6" i="2"/>
  <c r="F6" i="2" l="1"/>
  <c r="K5" i="9" s="1"/>
  <c r="E5" i="2"/>
  <c r="F5" i="2" s="1"/>
  <c r="J5" i="9"/>
  <c r="B11" i="15" l="1"/>
  <c r="P10" i="8" l="1"/>
  <c r="E10" i="8" s="1"/>
  <c r="H47" i="2" s="1"/>
  <c r="P12" i="8" l="1"/>
  <c r="E12" i="8" s="1"/>
  <c r="F12" i="8" s="1"/>
  <c r="E35" i="8"/>
  <c r="D1" i="16" s="1"/>
  <c r="F10" i="8"/>
  <c r="P47" i="2"/>
  <c r="E47" i="2" s="1"/>
  <c r="E13" i="8"/>
  <c r="H49" i="2" s="1"/>
  <c r="E28" i="8" l="1"/>
  <c r="F28" i="8" s="1"/>
  <c r="F35" i="8"/>
  <c r="F47" i="2"/>
  <c r="F13" i="8"/>
  <c r="P49" i="2"/>
  <c r="E49" i="2" s="1"/>
  <c r="F49" i="2" s="1"/>
  <c r="E6" i="8"/>
  <c r="E27" i="8" l="1"/>
  <c r="E10" i="9" s="1"/>
  <c r="B9" i="15" s="1"/>
  <c r="E46" i="2"/>
  <c r="F6" i="8"/>
  <c r="E5" i="8"/>
  <c r="F27" i="8" l="1"/>
  <c r="F10" i="9" s="1"/>
  <c r="E5" i="9"/>
  <c r="E63" i="8"/>
  <c r="F5" i="8"/>
  <c r="F5" i="9" s="1"/>
  <c r="F46" i="2"/>
  <c r="K9" i="9" s="1"/>
  <c r="E45" i="2"/>
  <c r="J9" i="9"/>
  <c r="F18" i="9" l="1"/>
  <c r="E66" i="8"/>
  <c r="P69" i="2"/>
  <c r="E69" i="2" s="1"/>
  <c r="E81" i="2"/>
  <c r="B13" i="15"/>
  <c r="F63" i="8"/>
  <c r="F45" i="2"/>
  <c r="B7" i="15"/>
  <c r="E18" i="9"/>
  <c r="B4" i="15" l="1"/>
  <c r="F69" i="2"/>
  <c r="E68" i="2"/>
  <c r="J15" i="9" l="1"/>
  <c r="J18" i="9" s="1"/>
  <c r="J20" i="9" s="1"/>
  <c r="F68" i="2"/>
  <c r="K15" i="9" s="1"/>
  <c r="K18" i="9" s="1"/>
  <c r="E67" i="2"/>
  <c r="B5" i="15" l="1"/>
  <c r="F67" i="2"/>
  <c r="E79" i="2"/>
  <c r="F79" i="2" l="1"/>
  <c r="E82" i="2"/>
  <c r="E83" i="2" s="1"/>
</calcChain>
</file>

<file path=xl/sharedStrings.xml><?xml version="1.0" encoding="utf-8"?>
<sst xmlns="http://schemas.openxmlformats.org/spreadsheetml/2006/main" count="872" uniqueCount="432">
  <si>
    <t>(단위 : 원)</t>
  </si>
  <si>
    <t>관</t>
  </si>
  <si>
    <t>항</t>
  </si>
  <si>
    <t>월</t>
  </si>
  <si>
    <t xml:space="preserve"> 세 입 합 계</t>
  </si>
  <si>
    <t>명</t>
    <phoneticPr fontId="3" type="noConversion"/>
  </si>
  <si>
    <t>월</t>
    <phoneticPr fontId="3" type="noConversion"/>
  </si>
  <si>
    <t xml:space="preserve"> </t>
    <phoneticPr fontId="3" type="noConversion"/>
  </si>
  <si>
    <t xml:space="preserve"> </t>
    <phoneticPr fontId="3" type="noConversion"/>
  </si>
  <si>
    <t xml:space="preserve"> </t>
    <phoneticPr fontId="3" type="noConversion"/>
  </si>
  <si>
    <t>과      목</t>
    <phoneticPr fontId="3" type="noConversion"/>
  </si>
  <si>
    <t>112.본인부담금수입</t>
    <phoneticPr fontId="3" type="noConversion"/>
  </si>
  <si>
    <t>116.기타비급여수입</t>
    <phoneticPr fontId="3" type="noConversion"/>
  </si>
  <si>
    <t>211.OO사업수입</t>
    <phoneticPr fontId="3" type="noConversion"/>
  </si>
  <si>
    <t>311.과년도수입</t>
    <phoneticPr fontId="3" type="noConversion"/>
  </si>
  <si>
    <t>413.시,군,구보조금</t>
    <phoneticPr fontId="3" type="noConversion"/>
  </si>
  <si>
    <t>511.지정후원금</t>
    <phoneticPr fontId="3" type="noConversion"/>
  </si>
  <si>
    <t>512.비지정후원금</t>
    <phoneticPr fontId="3" type="noConversion"/>
  </si>
  <si>
    <t>611.장기요양급여수입</t>
    <phoneticPr fontId="3" type="noConversion"/>
  </si>
  <si>
    <t>711.금융기관차입금</t>
    <phoneticPr fontId="3" type="noConversion"/>
  </si>
  <si>
    <t>712.기타차입금</t>
    <phoneticPr fontId="3" type="noConversion"/>
  </si>
  <si>
    <t>811.법인전입금</t>
    <phoneticPr fontId="3" type="noConversion"/>
  </si>
  <si>
    <t>812.법인후원금</t>
    <phoneticPr fontId="3" type="noConversion"/>
  </si>
  <si>
    <t>813.기타전입금</t>
    <phoneticPr fontId="3" type="noConversion"/>
  </si>
  <si>
    <t>814.기타후원금</t>
    <phoneticPr fontId="3" type="noConversion"/>
  </si>
  <si>
    <t>911.전년도이월금</t>
    <phoneticPr fontId="3" type="noConversion"/>
  </si>
  <si>
    <t>1011.불용품매각대</t>
    <phoneticPr fontId="3" type="noConversion"/>
  </si>
  <si>
    <t>1012.기타예금이자수입</t>
    <phoneticPr fontId="3" type="noConversion"/>
  </si>
  <si>
    <t>1013.직원식재료비수입</t>
    <phoneticPr fontId="3" type="noConversion"/>
  </si>
  <si>
    <t>1014.기타잡수입</t>
    <phoneticPr fontId="3" type="noConversion"/>
  </si>
  <si>
    <t>1111.운영충당적립금</t>
    <phoneticPr fontId="3" type="noConversion"/>
  </si>
  <si>
    <t>1112.시설환경개선준비금</t>
    <phoneticPr fontId="3" type="noConversion"/>
  </si>
  <si>
    <t>×</t>
    <phoneticPr fontId="4" type="noConversion"/>
  </si>
  <si>
    <t>=</t>
    <phoneticPr fontId="4" type="noConversion"/>
  </si>
  <si>
    <t>증감</t>
    <phoneticPr fontId="4" type="noConversion"/>
  </si>
  <si>
    <t>전년도
예산액</t>
    <phoneticPr fontId="3" type="noConversion"/>
  </si>
  <si>
    <t>당해연도
예산액</t>
    <phoneticPr fontId="4" type="noConversion"/>
  </si>
  <si>
    <t>목(세목)</t>
    <phoneticPr fontId="3" type="noConversion"/>
  </si>
  <si>
    <t>비고</t>
    <phoneticPr fontId="3" type="noConversion"/>
  </si>
  <si>
    <t>1등급(일반)</t>
    <phoneticPr fontId="3" type="noConversion"/>
  </si>
  <si>
    <t>2등급(일반)</t>
  </si>
  <si>
    <t>명</t>
    <phoneticPr fontId="3" type="noConversion"/>
  </si>
  <si>
    <t>×</t>
    <phoneticPr fontId="4" type="noConversion"/>
  </si>
  <si>
    <t>=</t>
    <phoneticPr fontId="4" type="noConversion"/>
  </si>
  <si>
    <t>월</t>
    <phoneticPr fontId="3" type="noConversion"/>
  </si>
  <si>
    <t>월</t>
    <phoneticPr fontId="3" type="noConversion"/>
  </si>
  <si>
    <t>112.각종수당</t>
    <phoneticPr fontId="3" type="noConversion"/>
  </si>
  <si>
    <t>116.사회보험부담금</t>
    <phoneticPr fontId="3" type="noConversion"/>
  </si>
  <si>
    <t>시설장</t>
    <phoneticPr fontId="3" type="noConversion"/>
  </si>
  <si>
    <t>순번</t>
  </si>
  <si>
    <t>전년도</t>
  </si>
  <si>
    <t>당해년도</t>
  </si>
  <si>
    <t>증감액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</si>
  <si>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</si>
  <si>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</si>
  <si>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</si>
  <si>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</si>
  <si>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</si>
  <si>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</si>
  <si>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</si>
  <si>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</si>
  <si>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</si>
  <si>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세입 합계</t>
  </si>
  <si>
    <t>세출합계</t>
  </si>
  <si>
    <t>11.인건비</t>
    <phoneticPr fontId="3" type="noConversion"/>
  </si>
  <si>
    <t>12.업무추진비</t>
    <phoneticPr fontId="3" type="noConversion"/>
  </si>
  <si>
    <t>121.기관운영비</t>
    <phoneticPr fontId="3" type="noConversion"/>
  </si>
  <si>
    <t>122.직책보조비</t>
    <phoneticPr fontId="3" type="noConversion"/>
  </si>
  <si>
    <t>123.회의비</t>
    <phoneticPr fontId="3" type="noConversion"/>
  </si>
  <si>
    <t>13.운영비</t>
    <phoneticPr fontId="3" type="noConversion"/>
  </si>
  <si>
    <t>131.여비</t>
    <phoneticPr fontId="3" type="noConversion"/>
  </si>
  <si>
    <t>135.차량비</t>
    <phoneticPr fontId="3" type="noConversion"/>
  </si>
  <si>
    <t>136.임차료</t>
    <phoneticPr fontId="3" type="noConversion"/>
  </si>
  <si>
    <t>137.기타운영비</t>
    <phoneticPr fontId="3" type="noConversion"/>
  </si>
  <si>
    <t>02.재산조성비</t>
  </si>
  <si>
    <t>02.재산조성비</t>
    <phoneticPr fontId="3" type="noConversion"/>
  </si>
  <si>
    <t>21.시설비</t>
  </si>
  <si>
    <t>21.시설비</t>
    <phoneticPr fontId="3" type="noConversion"/>
  </si>
  <si>
    <t>211.시설비</t>
    <phoneticPr fontId="3" type="noConversion"/>
  </si>
  <si>
    <t>212.자산취득비</t>
    <phoneticPr fontId="3" type="noConversion"/>
  </si>
  <si>
    <t>213.시설장비유지비</t>
    <phoneticPr fontId="3" type="noConversion"/>
  </si>
  <si>
    <t>03.사업비</t>
    <phoneticPr fontId="3" type="noConversion"/>
  </si>
  <si>
    <t>31.운영비</t>
    <phoneticPr fontId="3" type="noConversion"/>
  </si>
  <si>
    <t>311.생계비</t>
    <phoneticPr fontId="3" type="noConversion"/>
  </si>
  <si>
    <t>312.수용기관경비</t>
    <phoneticPr fontId="3" type="noConversion"/>
  </si>
  <si>
    <t>314.의료비</t>
    <phoneticPr fontId="3" type="noConversion"/>
  </si>
  <si>
    <t>315.장의비</t>
    <phoneticPr fontId="3" type="noConversion"/>
  </si>
  <si>
    <t>331.프로그램사업비</t>
    <phoneticPr fontId="3" type="noConversion"/>
  </si>
  <si>
    <t>04.전출금</t>
    <phoneticPr fontId="3" type="noConversion"/>
  </si>
  <si>
    <t>41.전출금</t>
    <phoneticPr fontId="3" type="noConversion"/>
  </si>
  <si>
    <t>412.기타전출금</t>
    <phoneticPr fontId="3" type="noConversion"/>
  </si>
  <si>
    <t>05.과년도지출</t>
    <phoneticPr fontId="3" type="noConversion"/>
  </si>
  <si>
    <t>51.과년도지출</t>
    <phoneticPr fontId="3" type="noConversion"/>
  </si>
  <si>
    <t>511.과년도지출</t>
    <phoneticPr fontId="3" type="noConversion"/>
  </si>
  <si>
    <t>06.상환금</t>
    <phoneticPr fontId="3" type="noConversion"/>
  </si>
  <si>
    <t>61.부채상환금</t>
  </si>
  <si>
    <t>61.부채상환금</t>
    <phoneticPr fontId="3" type="noConversion"/>
  </si>
  <si>
    <t>611.원금상환금</t>
    <phoneticPr fontId="3" type="noConversion"/>
  </si>
  <si>
    <t>612.이자지불금</t>
    <phoneticPr fontId="3" type="noConversion"/>
  </si>
  <si>
    <t>07.잡지출</t>
  </si>
  <si>
    <t>07.잡지출</t>
    <phoneticPr fontId="3" type="noConversion"/>
  </si>
  <si>
    <t>71.잡지출</t>
  </si>
  <si>
    <t>71.잡지출</t>
    <phoneticPr fontId="3" type="noConversion"/>
  </si>
  <si>
    <t>711.잡지출</t>
    <phoneticPr fontId="3" type="noConversion"/>
  </si>
  <si>
    <t>811.예비비</t>
    <phoneticPr fontId="3" type="noConversion"/>
  </si>
  <si>
    <t>812.반환금</t>
    <phoneticPr fontId="3" type="noConversion"/>
  </si>
  <si>
    <t>91.운영충당적립금 및 환경개선준비금</t>
  </si>
  <si>
    <t>91.운영충당적립금 및 환경개선준비금</t>
    <phoneticPr fontId="3" type="noConversion"/>
  </si>
  <si>
    <t>911.운영충당적립금</t>
    <phoneticPr fontId="3" type="noConversion"/>
  </si>
  <si>
    <t>912.시설환경 개선준비금</t>
    <phoneticPr fontId="3" type="noConversion"/>
  </si>
  <si>
    <t>10.적립금 및 준비금 지출(특별회계)</t>
  </si>
  <si>
    <t>10.적립금 및 준비금 지출(특별회계)</t>
    <phoneticPr fontId="3" type="noConversion"/>
  </si>
  <si>
    <t>101.운영충당적립금 및 환경개선준비금 지출</t>
  </si>
  <si>
    <t>101.운영충당적립금 및 환경개선준비금 지출</t>
    <phoneticPr fontId="3" type="noConversion"/>
  </si>
  <si>
    <t>1011.운영충당적립금 지출</t>
    <phoneticPr fontId="3" type="noConversion"/>
  </si>
  <si>
    <t>1012.시설환경개선준비금 지출</t>
    <phoneticPr fontId="3" type="noConversion"/>
  </si>
  <si>
    <t>115.퇴직금 및 퇴직적립금</t>
    <phoneticPr fontId="3" type="noConversion"/>
  </si>
  <si>
    <t>08.예비비 및 기타</t>
  </si>
  <si>
    <t>08.예비비 및 기타</t>
    <phoneticPr fontId="3" type="noConversion"/>
  </si>
  <si>
    <t>132.수용비 및 수수료</t>
    <phoneticPr fontId="3" type="noConversion"/>
  </si>
  <si>
    <t>133.공공요금 및 제세공과금</t>
    <phoneticPr fontId="3" type="noConversion"/>
  </si>
  <si>
    <t>81.예비비 및 기타</t>
  </si>
  <si>
    <t>81.예비비 및 기타</t>
    <phoneticPr fontId="3" type="noConversion"/>
  </si>
  <si>
    <t>09. 적립금 및 준비금</t>
  </si>
  <si>
    <t>09. 적립금 및 준비금</t>
    <phoneticPr fontId="3" type="noConversion"/>
  </si>
  <si>
    <t>02.사업수입</t>
    <phoneticPr fontId="3" type="noConversion"/>
  </si>
  <si>
    <t>21.사업수입</t>
    <phoneticPr fontId="3" type="noConversion"/>
  </si>
  <si>
    <t>03.과년도수입</t>
    <phoneticPr fontId="3" type="noConversion"/>
  </si>
  <si>
    <t>31.과년도수입</t>
    <phoneticPr fontId="3" type="noConversion"/>
  </si>
  <si>
    <t>04.보조금수입</t>
    <phoneticPr fontId="3" type="noConversion"/>
  </si>
  <si>
    <t>41.보조금 수입</t>
    <phoneticPr fontId="3" type="noConversion"/>
  </si>
  <si>
    <t>05.후원금수입</t>
    <phoneticPr fontId="3" type="noConversion"/>
  </si>
  <si>
    <t>51.후원금수입</t>
    <phoneticPr fontId="3" type="noConversion"/>
  </si>
  <si>
    <t>06.요양급여수입</t>
    <phoneticPr fontId="3" type="noConversion"/>
  </si>
  <si>
    <t>61.요양급여수입</t>
    <phoneticPr fontId="3" type="noConversion"/>
  </si>
  <si>
    <t>07.차입금</t>
    <phoneticPr fontId="3" type="noConversion"/>
  </si>
  <si>
    <t>71.차입금</t>
    <phoneticPr fontId="3" type="noConversion"/>
  </si>
  <si>
    <t>08.전입금</t>
    <phoneticPr fontId="3" type="noConversion"/>
  </si>
  <si>
    <t>81.전입금</t>
    <phoneticPr fontId="3" type="noConversion"/>
  </si>
  <si>
    <t>09.이월금</t>
    <phoneticPr fontId="3" type="noConversion"/>
  </si>
  <si>
    <t>91.이월금</t>
    <phoneticPr fontId="3" type="noConversion"/>
  </si>
  <si>
    <t>10.잡수입</t>
    <phoneticPr fontId="3" type="noConversion"/>
  </si>
  <si>
    <t>10.잡수입</t>
    <phoneticPr fontId="3" type="noConversion"/>
  </si>
  <si>
    <t>101.잡수입</t>
    <phoneticPr fontId="3" type="noConversion"/>
  </si>
  <si>
    <t>11.적립금및준비금(특별회계)</t>
    <phoneticPr fontId="3" type="noConversion"/>
  </si>
  <si>
    <t>111.운영충당적립금 및 환경개선준비금</t>
    <phoneticPr fontId="3" type="noConversion"/>
  </si>
  <si>
    <t>10</t>
  </si>
  <si>
    <t>11</t>
  </si>
  <si>
    <t>01.사무비</t>
    <phoneticPr fontId="3" type="noConversion"/>
  </si>
  <si>
    <t>12.업무추진비</t>
    <phoneticPr fontId="3" type="noConversion"/>
  </si>
  <si>
    <t>13.운영비</t>
    <phoneticPr fontId="3" type="noConversion"/>
  </si>
  <si>
    <t>12</t>
  </si>
  <si>
    <t>13</t>
  </si>
  <si>
    <t xml:space="preserve"> 세 출 합 계</t>
    <phoneticPr fontId="3" type="noConversion"/>
  </si>
  <si>
    <t>11.적립금 및 준비금(특별회계)</t>
    <phoneticPr fontId="3" type="noConversion"/>
  </si>
  <si>
    <t>41.보조금수입</t>
    <phoneticPr fontId="3" type="noConversion"/>
  </si>
  <si>
    <t>01.입소자 부담금수입</t>
    <phoneticPr fontId="3" type="noConversion"/>
  </si>
  <si>
    <t>11.입소 비용수입</t>
    <phoneticPr fontId="3" type="noConversion"/>
  </si>
  <si>
    <t>3~5등급(일반)</t>
    <phoneticPr fontId="3" type="noConversion"/>
  </si>
  <si>
    <t>113.식재료비수입</t>
    <phoneticPr fontId="3" type="noConversion"/>
  </si>
  <si>
    <t>114.상급침실이용료</t>
    <phoneticPr fontId="3" type="noConversion"/>
  </si>
  <si>
    <t>115.이미용비</t>
    <phoneticPr fontId="3" type="noConversion"/>
  </si>
  <si>
    <t>912.전년도이월금(후원금)</t>
    <phoneticPr fontId="3" type="noConversion"/>
  </si>
  <si>
    <t>913.전년도이월금(식재료비)</t>
    <phoneticPr fontId="3" type="noConversion"/>
  </si>
  <si>
    <t>월</t>
    <phoneticPr fontId="3" type="noConversion"/>
  </si>
  <si>
    <t>411.법인회계 전출금</t>
    <phoneticPr fontId="3" type="noConversion"/>
  </si>
  <si>
    <t>사업코드</t>
  </si>
  <si>
    <t>사업명</t>
  </si>
  <si>
    <t>성명</t>
  </si>
  <si>
    <t>직종</t>
  </si>
  <si>
    <t>급여유형</t>
  </si>
  <si>
    <t>인건비구분</t>
  </si>
  <si>
    <t>주민등록번호</t>
  </si>
  <si>
    <t>급여</t>
  </si>
  <si>
    <t>각종수당</t>
  </si>
  <si>
    <t>일용잡급</t>
  </si>
  <si>
    <t>퇴직금 및
퇴직적립금</t>
  </si>
  <si>
    <t>사회보험
부담금</t>
  </si>
  <si>
    <t>합계금액</t>
  </si>
  <si>
    <t>직원번호</t>
  </si>
  <si>
    <t>금액</t>
    <phoneticPr fontId="3" type="noConversion"/>
  </si>
  <si>
    <t>월</t>
    <phoneticPr fontId="3" type="noConversion"/>
  </si>
  <si>
    <t>계</t>
    <phoneticPr fontId="3" type="noConversion"/>
  </si>
  <si>
    <t>근무제</t>
  </si>
  <si>
    <t>기본급</t>
  </si>
  <si>
    <t>연장수당</t>
  </si>
  <si>
    <t>야간수당</t>
  </si>
  <si>
    <t>직무수당</t>
    <phoneticPr fontId="3" type="noConversion"/>
  </si>
  <si>
    <t>주주야야비비</t>
  </si>
  <si>
    <t>퐁당당</t>
  </si>
  <si>
    <t>3교대제_DNE체계</t>
  </si>
  <si>
    <t>간호조무사</t>
    <phoneticPr fontId="3" type="noConversion"/>
  </si>
  <si>
    <t>주간근무</t>
  </si>
  <si>
    <t>물리치료사</t>
    <phoneticPr fontId="3" type="noConversion"/>
  </si>
  <si>
    <t>작업치료사</t>
    <phoneticPr fontId="3" type="noConversion"/>
  </si>
  <si>
    <t>사회복지사</t>
    <phoneticPr fontId="3" type="noConversion"/>
  </si>
  <si>
    <t>사무국장</t>
    <phoneticPr fontId="3" type="noConversion"/>
  </si>
  <si>
    <t>사무원</t>
    <phoneticPr fontId="3" type="noConversion"/>
  </si>
  <si>
    <t>위생원</t>
    <phoneticPr fontId="3" type="noConversion"/>
  </si>
  <si>
    <t>관리인</t>
    <phoneticPr fontId="3" type="noConversion"/>
  </si>
  <si>
    <t>운전원</t>
    <phoneticPr fontId="3" type="noConversion"/>
  </si>
  <si>
    <t>조리원</t>
    <phoneticPr fontId="3" type="noConversion"/>
  </si>
  <si>
    <t>1등급(기초수급)</t>
  </si>
  <si>
    <t>2등급(기초수급)</t>
    <phoneticPr fontId="3" type="noConversion"/>
  </si>
  <si>
    <t>3~5등급(기초수급)</t>
    <phoneticPr fontId="3" type="noConversion"/>
  </si>
  <si>
    <t>×</t>
    <phoneticPr fontId="4" type="noConversion"/>
  </si>
  <si>
    <t>×</t>
    <phoneticPr fontId="4" type="noConversion"/>
  </si>
  <si>
    <t>직접비</t>
    <phoneticPr fontId="3" type="noConversion"/>
  </si>
  <si>
    <t>간접비</t>
    <phoneticPr fontId="3" type="noConversion"/>
  </si>
  <si>
    <t>식</t>
    <phoneticPr fontId="3" type="noConversion"/>
  </si>
  <si>
    <t>식</t>
    <phoneticPr fontId="3" type="noConversion"/>
  </si>
  <si>
    <t>명</t>
    <phoneticPr fontId="3" type="noConversion"/>
  </si>
  <si>
    <t>612.가산금 수입</t>
    <phoneticPr fontId="3" type="noConversion"/>
  </si>
  <si>
    <t>613.장기근속장려금</t>
    <phoneticPr fontId="3" type="noConversion"/>
  </si>
  <si>
    <t>장기요양등급</t>
    <phoneticPr fontId="3" type="noConversion"/>
  </si>
  <si>
    <t>부담률</t>
    <phoneticPr fontId="3" type="noConversion"/>
  </si>
  <si>
    <t>본인
부담금</t>
    <phoneticPr fontId="3" type="noConversion"/>
  </si>
  <si>
    <t>장기
요양급여</t>
    <phoneticPr fontId="3" type="noConversion"/>
  </si>
  <si>
    <t>계</t>
    <phoneticPr fontId="3" type="noConversion"/>
  </si>
  <si>
    <t>본인부담</t>
    <phoneticPr fontId="3" type="noConversion"/>
  </si>
  <si>
    <t>공단부담</t>
    <phoneticPr fontId="3" type="noConversion"/>
  </si>
  <si>
    <t>1등급(일반)</t>
    <phoneticPr fontId="3" type="noConversion"/>
  </si>
  <si>
    <t>3~5등급(일반)</t>
    <phoneticPr fontId="3" type="noConversion"/>
  </si>
  <si>
    <t>1등급(감경12%)</t>
    <phoneticPr fontId="3" type="noConversion"/>
  </si>
  <si>
    <t>2등급(감경12%)</t>
    <phoneticPr fontId="3" type="noConversion"/>
  </si>
  <si>
    <t>3~5등급(감경12%)</t>
    <phoneticPr fontId="3" type="noConversion"/>
  </si>
  <si>
    <t>1등급(감경8%)</t>
    <phoneticPr fontId="3" type="noConversion"/>
  </si>
  <si>
    <t>2등급(감경8%)</t>
    <phoneticPr fontId="3" type="noConversion"/>
  </si>
  <si>
    <t>3~5등급(감경8%)</t>
    <phoneticPr fontId="3" type="noConversion"/>
  </si>
  <si>
    <t>2등급(기초수급)</t>
    <phoneticPr fontId="3" type="noConversion"/>
  </si>
  <si>
    <t>3~5등급(기초수급)</t>
    <phoneticPr fontId="3" type="noConversion"/>
  </si>
  <si>
    <t>등급외</t>
    <phoneticPr fontId="3" type="noConversion"/>
  </si>
  <si>
    <t>직접비</t>
    <phoneticPr fontId="3" type="noConversion"/>
  </si>
  <si>
    <t>식</t>
    <phoneticPr fontId="3" type="noConversion"/>
  </si>
  <si>
    <t>식비</t>
    <phoneticPr fontId="3" type="noConversion"/>
  </si>
  <si>
    <t>33.프로그램사업비</t>
    <phoneticPr fontId="3" type="noConversion"/>
  </si>
  <si>
    <t>제3조 세입의 주요재원은 아래와 같다</t>
    <phoneticPr fontId="3" type="noConversion"/>
  </si>
  <si>
    <t>입소자 부담금수입</t>
    <phoneticPr fontId="3" type="noConversion"/>
  </si>
  <si>
    <t>보조금수입</t>
    <phoneticPr fontId="3" type="noConversion"/>
  </si>
  <si>
    <t>요양급여수입</t>
    <phoneticPr fontId="3" type="noConversion"/>
  </si>
  <si>
    <t>제4조 세출의 주요재원은 아래와 같다</t>
    <phoneticPr fontId="3" type="noConversion"/>
  </si>
  <si>
    <t>사무비(인건비, 사무운영비)</t>
    <phoneticPr fontId="3" type="noConversion"/>
  </si>
  <si>
    <t>재산조정비(시설비)</t>
    <phoneticPr fontId="3" type="noConversion"/>
  </si>
  <si>
    <t>사업비(사업비, 사업 운영비)</t>
    <phoneticPr fontId="3" type="noConversion"/>
  </si>
  <si>
    <t xml:space="preserve">제6조 세출경비가 부족 할 경우에는「사회복지법인 및 사회복지시설 재무회계규칙 
제16조」에 </t>
    <phoneticPr fontId="3" type="noConversion"/>
  </si>
  <si>
    <t>따라 전용한다.</t>
    <phoneticPr fontId="3" type="noConversion"/>
  </si>
  <si>
    <t xml:space="preserve">제7조 국가 또는 지방자치단체로부터 교부된 보조금 및 지정후원금，법인전입금 등은 추가경정 </t>
    <phoneticPr fontId="3" type="noConversion"/>
  </si>
  <si>
    <t>예산의 성립 이전이라도 보조 및 후원목적에 적절한 경우 먼저 사용 할 수 있으며，</t>
    <phoneticPr fontId="3" type="noConversion"/>
  </si>
  <si>
    <t>이는 차기 추가경정예산에 반영하여야 한다.</t>
    <phoneticPr fontId="3" type="noConversion"/>
  </si>
  <si>
    <t xml:space="preserve">제8조 그외 예산총칙에 명시되지 않은 사항은 「사회복지법인 및 사회복지시설 재무회계규칙」에 </t>
    <phoneticPr fontId="3" type="noConversion"/>
  </si>
  <si>
    <t>따라 집행한다.</t>
    <phoneticPr fontId="3" type="noConversion"/>
  </si>
  <si>
    <t>인건비산정</t>
    <phoneticPr fontId="3" type="noConversion"/>
  </si>
  <si>
    <t>번호</t>
    <phoneticPr fontId="3" type="noConversion"/>
  </si>
  <si>
    <t>종사자</t>
    <phoneticPr fontId="3" type="noConversion"/>
  </si>
  <si>
    <t>각종수당</t>
    <phoneticPr fontId="3" type="noConversion"/>
  </si>
  <si>
    <t>급여
(기본급+수당)</t>
    <phoneticPr fontId="3" type="noConversion"/>
  </si>
  <si>
    <t>퇴직
적립금</t>
    <phoneticPr fontId="3" type="noConversion"/>
  </si>
  <si>
    <t>사회보험료(사업자부담)</t>
    <phoneticPr fontId="3" type="noConversion"/>
  </si>
  <si>
    <t>성명</t>
    <phoneticPr fontId="3" type="noConversion"/>
  </si>
  <si>
    <t>직종</t>
    <phoneticPr fontId="3" type="noConversion"/>
  </si>
  <si>
    <t>인건비 구분</t>
    <phoneticPr fontId="3" type="noConversion"/>
  </si>
  <si>
    <t>상여</t>
    <phoneticPr fontId="3" type="noConversion"/>
  </si>
  <si>
    <t>장기근속</t>
    <phoneticPr fontId="3" type="noConversion"/>
  </si>
  <si>
    <t>장기</t>
    <phoneticPr fontId="3" type="noConversion"/>
  </si>
  <si>
    <t>고용</t>
    <phoneticPr fontId="3" type="noConversion"/>
  </si>
  <si>
    <t>계</t>
    <phoneticPr fontId="3" type="noConversion"/>
  </si>
  <si>
    <t>국민</t>
    <phoneticPr fontId="3" type="noConversion"/>
  </si>
  <si>
    <t>건강</t>
    <phoneticPr fontId="3" type="noConversion"/>
  </si>
  <si>
    <t>산재</t>
    <phoneticPr fontId="3" type="noConversion"/>
  </si>
  <si>
    <t>월계</t>
    <phoneticPr fontId="3" type="noConversion"/>
  </si>
  <si>
    <t>년계</t>
    <phoneticPr fontId="3" type="noConversion"/>
  </si>
  <si>
    <t>명</t>
    <phoneticPr fontId="3" type="noConversion"/>
  </si>
  <si>
    <t>월 직접비</t>
    <phoneticPr fontId="3" type="noConversion"/>
  </si>
  <si>
    <t>월 간접비</t>
    <phoneticPr fontId="3" type="noConversion"/>
  </si>
  <si>
    <t>년 직접비</t>
    <phoneticPr fontId="3" type="noConversion"/>
  </si>
  <si>
    <t>년 간접비</t>
    <phoneticPr fontId="3" type="noConversion"/>
  </si>
  <si>
    <t>단위</t>
    <phoneticPr fontId="3" type="noConversion"/>
  </si>
  <si>
    <t>합계</t>
    <phoneticPr fontId="3" type="noConversion"/>
  </si>
  <si>
    <t>시설장</t>
    <phoneticPr fontId="3" type="noConversion"/>
  </si>
  <si>
    <t>사회복지사</t>
    <phoneticPr fontId="3" type="noConversion"/>
  </si>
  <si>
    <t>영양사</t>
    <phoneticPr fontId="3" type="noConversion"/>
  </si>
  <si>
    <t>조리원</t>
    <phoneticPr fontId="3" type="noConversion"/>
  </si>
  <si>
    <t>간접비</t>
    <phoneticPr fontId="3" type="noConversion"/>
  </si>
  <si>
    <t>기본급</t>
    <phoneticPr fontId="3" type="noConversion"/>
  </si>
  <si>
    <t>요양보호사</t>
    <phoneticPr fontId="3" type="noConversion"/>
  </si>
  <si>
    <t>1등급</t>
    <phoneticPr fontId="3" type="noConversion"/>
  </si>
  <si>
    <t>2등급</t>
    <phoneticPr fontId="3" type="noConversion"/>
  </si>
  <si>
    <t>3~5등급</t>
    <phoneticPr fontId="3" type="noConversion"/>
  </si>
  <si>
    <t>산출근거</t>
    <phoneticPr fontId="3" type="noConversion"/>
  </si>
  <si>
    <t>내용</t>
    <phoneticPr fontId="3" type="noConversion"/>
  </si>
  <si>
    <t>임직원보수일람표 참조</t>
    <phoneticPr fontId="3" type="noConversion"/>
  </si>
  <si>
    <t>111.급여</t>
    <phoneticPr fontId="3" type="noConversion"/>
  </si>
  <si>
    <t>직책수행을 위한 경비</t>
    <phoneticPr fontId="3" type="noConversion"/>
  </si>
  <si>
    <t>각종 회의 소요 경비</t>
    <phoneticPr fontId="3" type="noConversion"/>
  </si>
  <si>
    <t>직원의 국내외 출장비</t>
    <phoneticPr fontId="3" type="noConversion"/>
  </si>
  <si>
    <t>사무용품비, 소모품비, 도서구입비 등</t>
    <phoneticPr fontId="3" type="noConversion"/>
  </si>
  <si>
    <t>소규모수선비, 배송비, 통행료, 주차료 등</t>
    <phoneticPr fontId="3" type="noConversion"/>
  </si>
  <si>
    <t>회계, 리스, 렌탈 등 수수료</t>
    <phoneticPr fontId="3" type="noConversion"/>
  </si>
  <si>
    <t>통신비(인터넷, TV수신, 전화 등)</t>
    <phoneticPr fontId="3" type="noConversion"/>
  </si>
  <si>
    <t>전기, 수도, 가스, 난방비</t>
    <phoneticPr fontId="3" type="noConversion"/>
  </si>
  <si>
    <t>배상책임, 화재, 자동차보험료</t>
    <phoneticPr fontId="3" type="noConversion"/>
  </si>
  <si>
    <t>유류대</t>
    <phoneticPr fontId="3" type="noConversion"/>
  </si>
  <si>
    <t>차량유지비(정비, 소모품 교체)</t>
    <phoneticPr fontId="3" type="noConversion"/>
  </si>
  <si>
    <t>급량비, 직원식대, 회식비</t>
    <phoneticPr fontId="3" type="noConversion"/>
  </si>
  <si>
    <t>직원상해보험, 의류비, 건강진단</t>
    <phoneticPr fontId="3" type="noConversion"/>
  </si>
  <si>
    <t>건물, 토지의 임대료</t>
    <phoneticPr fontId="3" type="noConversion"/>
  </si>
  <si>
    <t>신, 증축비 및 부대경비</t>
    <phoneticPr fontId="3" type="noConversion"/>
  </si>
  <si>
    <t>자산의 취득</t>
    <phoneticPr fontId="3" type="noConversion"/>
  </si>
  <si>
    <t>건물 및 건축설비 유지관리비</t>
    <phoneticPr fontId="3" type="noConversion"/>
  </si>
  <si>
    <t>주, 부식비, 장유비, 월동용 김장비</t>
    <phoneticPr fontId="3" type="noConversion"/>
  </si>
  <si>
    <t>입소자를 위한 수용비</t>
    <phoneticPr fontId="3" type="noConversion"/>
  </si>
  <si>
    <t>입소자의 보건위생 및 시약대</t>
    <phoneticPr fontId="3" type="noConversion"/>
  </si>
  <si>
    <t>입소자 사망인을 위한 장의비</t>
    <phoneticPr fontId="3" type="noConversion"/>
  </si>
  <si>
    <t>입소자를 위한 프로그램 운영비</t>
    <phoneticPr fontId="3" type="noConversion"/>
  </si>
  <si>
    <t>직종</t>
    <phoneticPr fontId="3" type="noConversion"/>
  </si>
  <si>
    <t>근무시간</t>
    <phoneticPr fontId="3" type="noConversion"/>
  </si>
  <si>
    <t>소정근로
시간</t>
    <phoneticPr fontId="3" type="noConversion"/>
  </si>
  <si>
    <t>시급</t>
    <phoneticPr fontId="3" type="noConversion"/>
  </si>
  <si>
    <t>수당</t>
    <phoneticPr fontId="3" type="noConversion"/>
  </si>
  <si>
    <t>월급여</t>
    <phoneticPr fontId="3" type="noConversion"/>
  </si>
  <si>
    <t>직책수당</t>
    <phoneticPr fontId="3" type="noConversion"/>
  </si>
  <si>
    <t>요양보호사</t>
    <phoneticPr fontId="3" type="noConversion"/>
  </si>
  <si>
    <t>주주야야비비</t>
    <phoneticPr fontId="3" type="noConversion"/>
  </si>
  <si>
    <t>8/8</t>
    <phoneticPr fontId="3" type="noConversion"/>
  </si>
  <si>
    <t>8/9</t>
    <phoneticPr fontId="3" type="noConversion"/>
  </si>
  <si>
    <t>퐁당당</t>
    <phoneticPr fontId="3" type="noConversion"/>
  </si>
  <si>
    <t>요양보호사주간</t>
    <phoneticPr fontId="3" type="noConversion"/>
  </si>
  <si>
    <t>간호사</t>
    <phoneticPr fontId="3" type="noConversion"/>
  </si>
  <si>
    <t>주간근무5일</t>
    <phoneticPr fontId="3" type="noConversion"/>
  </si>
  <si>
    <t>주간근무6일</t>
  </si>
  <si>
    <t>세입예산총액</t>
    <phoneticPr fontId="3" type="noConversion"/>
  </si>
  <si>
    <t>세출예산총액</t>
    <phoneticPr fontId="3" type="noConversion"/>
  </si>
  <si>
    <t>구분</t>
    <phoneticPr fontId="3" type="noConversion"/>
  </si>
  <si>
    <t>간식비</t>
    <phoneticPr fontId="3" type="noConversion"/>
  </si>
  <si>
    <t>계</t>
    <phoneticPr fontId="3" type="noConversion"/>
  </si>
  <si>
    <t>식재료비</t>
    <phoneticPr fontId="3" type="noConversion"/>
  </si>
  <si>
    <t>상급침실</t>
    <phoneticPr fontId="3" type="noConversion"/>
  </si>
  <si>
    <t>식비</t>
    <phoneticPr fontId="3" type="noConversion"/>
  </si>
  <si>
    <t>1015.일자리안정자금</t>
    <phoneticPr fontId="3" type="noConversion"/>
  </si>
  <si>
    <t>기타 과세</t>
    <phoneticPr fontId="3" type="noConversion"/>
  </si>
  <si>
    <t>비과세(식비)</t>
    <phoneticPr fontId="3" type="noConversion"/>
  </si>
  <si>
    <t>기관운영 및 유관기관 업무협의비</t>
    <phoneticPr fontId="3" type="noConversion"/>
  </si>
  <si>
    <t>세출명세서</t>
    <phoneticPr fontId="4" type="noConversion"/>
  </si>
  <si>
    <t>간호조무사</t>
    <phoneticPr fontId="3" type="noConversion"/>
  </si>
  <si>
    <t>화</t>
  </si>
  <si>
    <t>영양사</t>
    <phoneticPr fontId="3" type="noConversion"/>
  </si>
  <si>
    <t>위생원</t>
    <phoneticPr fontId="3" type="noConversion"/>
  </si>
  <si>
    <t>물리치료사</t>
    <phoneticPr fontId="3" type="noConversion"/>
  </si>
  <si>
    <t>인건비구분/급여유형 별 선택 가능 직종 정보( * 개인정보 보호를 위하여 주민등록번호는 마스킹 처리되어 있습니다. 주민등록번호는 입력/수정 안하셔도 됩니다. )</t>
  </si>
  <si>
    <t>직접비</t>
  </si>
  <si>
    <t>주야간보호</t>
  </si>
  <si>
    <t>요양보호사1급, 요양보호사2급, 사회복지사, 간호사, 간호조무사, 물리치료사, 작업치료사</t>
  </si>
  <si>
    <t>방문요양, 방문목욕</t>
  </si>
  <si>
    <t>요양보호사1급, 요양보호사2급, 사회복지사(방문요양만 해당)</t>
  </si>
  <si>
    <t>단기보호</t>
  </si>
  <si>
    <t>요양보호사1급, 요양보호사2급, 사회복지사, 간호사, 간호조무사</t>
  </si>
  <si>
    <t>방문간호</t>
  </si>
  <si>
    <t>간호사, 간호조무사, 치과위생사</t>
  </si>
  <si>
    <t>간접비</t>
  </si>
  <si>
    <t>주야간보호, 단기보호, 방문간호</t>
  </si>
  <si>
    <t>시설장(관리책임자), 사무국장, 사무원, 영양사, 조리원, 위생원, 관리인, 보조원 운전사, 기타</t>
  </si>
  <si>
    <t>시설장(관리책임자), 사무국장, 사무원, 영양사, 조리원, 위생원, 관리인, 보조원 운전사, 사회복지사(방문목욕만 해당), 기타</t>
  </si>
  <si>
    <t>복지용구제공사업소</t>
  </si>
  <si>
    <t>시설장(관리책임자), 사무국장, 사무원, 보조원 운전사, 기타</t>
  </si>
  <si>
    <t>노인요양시설(개정법)</t>
  </si>
  <si>
    <t>제5조 운영충당적립금, 환경개선준비금은 시, 군, 구의 사전보고 와 운영위원회의 의결을 득한 후 적립한다.</t>
    <phoneticPr fontId="3" type="noConversion"/>
  </si>
  <si>
    <t>시설장</t>
    <phoneticPr fontId="3" type="noConversion"/>
  </si>
  <si>
    <t>요양보호사 1급</t>
    <phoneticPr fontId="3" type="noConversion"/>
  </si>
  <si>
    <t xml:space="preserve">회계연도: 2022년 </t>
    <phoneticPr fontId="3" type="noConversion"/>
  </si>
  <si>
    <t>2022년 수가</t>
    <phoneticPr fontId="3" type="noConversion"/>
  </si>
  <si>
    <t>종사자1</t>
    <phoneticPr fontId="3" type="noConversion"/>
  </si>
  <si>
    <t>종사자2</t>
  </si>
  <si>
    <t>종사자3</t>
  </si>
  <si>
    <t>종사자4</t>
  </si>
  <si>
    <t>종사자5</t>
  </si>
  <si>
    <t>종사자6</t>
  </si>
  <si>
    <t>종사자7</t>
  </si>
  <si>
    <t>종사자8</t>
  </si>
  <si>
    <t>종사자9</t>
  </si>
  <si>
    <t>종사자10</t>
  </si>
  <si>
    <t>종사자11</t>
  </si>
  <si>
    <t>종사자12</t>
  </si>
  <si>
    <t>종사자13</t>
  </si>
  <si>
    <t>종사자14</t>
  </si>
  <si>
    <t>종사자15</t>
  </si>
  <si>
    <t>종사자16</t>
  </si>
  <si>
    <t>종사자17</t>
  </si>
  <si>
    <t>종사자18</t>
  </si>
  <si>
    <t xml:space="preserve"> </t>
    <phoneticPr fontId="3" type="noConversion"/>
  </si>
  <si>
    <t>요양보호사야간</t>
    <phoneticPr fontId="3" type="noConversion"/>
  </si>
  <si>
    <t>8/8(8)</t>
    <phoneticPr fontId="3" type="noConversion"/>
  </si>
  <si>
    <t>야간
근무시간</t>
    <phoneticPr fontId="3" type="noConversion"/>
  </si>
  <si>
    <t>2022년 인건비 가이드</t>
    <phoneticPr fontId="3" type="noConversion"/>
  </si>
  <si>
    <t>P2022001</t>
    <phoneticPr fontId="3" type="noConversion"/>
  </si>
  <si>
    <t>일반사업(2022)</t>
    <phoneticPr fontId="3" type="noConversion"/>
  </si>
  <si>
    <t>(단위 : 원)</t>
    <phoneticPr fontId="3" type="noConversion"/>
  </si>
  <si>
    <t>수당계</t>
    <phoneticPr fontId="3" type="noConversion"/>
  </si>
  <si>
    <t>2022년 직접인건비 편성 비율</t>
    <phoneticPr fontId="3" type="noConversion"/>
  </si>
  <si>
    <t>제공급여구분</t>
    <phoneticPr fontId="3" type="noConversion"/>
  </si>
  <si>
    <t>직접인건비 직종</t>
    <phoneticPr fontId="3" type="noConversion"/>
  </si>
  <si>
    <t>인건비 지출비율(%)</t>
    <phoneticPr fontId="3" type="noConversion"/>
  </si>
  <si>
    <t>노인요양시설</t>
    <phoneticPr fontId="3" type="noConversion"/>
  </si>
  <si>
    <t>간호(조무)사, 물리(작업)치료사, 사회복시자, 요양보호사</t>
    <phoneticPr fontId="3" type="noConversion"/>
  </si>
  <si>
    <t>주야간보호</t>
    <phoneticPr fontId="3" type="noConversion"/>
  </si>
  <si>
    <t>방문요양</t>
    <phoneticPr fontId="3" type="noConversion"/>
  </si>
  <si>
    <t>요양보호사, 사회복지사</t>
    <phoneticPr fontId="3" type="noConversion"/>
  </si>
  <si>
    <t>방문간호</t>
    <phoneticPr fontId="3" type="noConversion"/>
  </si>
  <si>
    <t>방문목욕</t>
    <phoneticPr fontId="3" type="noConversion"/>
  </si>
  <si>
    <t>요양보호사</t>
    <phoneticPr fontId="3" type="noConversion"/>
  </si>
  <si>
    <t>간호(조무)사, 치과위생사</t>
    <phoneticPr fontId="3" type="noConversion"/>
  </si>
  <si>
    <t>예   산   총   괄   표</t>
    <phoneticPr fontId="3" type="noConversion"/>
  </si>
  <si>
    <t>예  산  총  칙</t>
    <phoneticPr fontId="3" type="noConversion"/>
  </si>
  <si>
    <t>세                     출</t>
    <phoneticPr fontId="3" type="noConversion"/>
  </si>
  <si>
    <t>세                      입</t>
    <phoneticPr fontId="3" type="noConversion"/>
  </si>
  <si>
    <t>세     입    명    세    서</t>
    <phoneticPr fontId="4" type="noConversion"/>
  </si>
  <si>
    <t>예  산  산  출  내  역</t>
    <phoneticPr fontId="3" type="noConversion"/>
  </si>
  <si>
    <t>당해연도
예 산 액</t>
    <phoneticPr fontId="4" type="noConversion"/>
  </si>
  <si>
    <t>내   용</t>
    <phoneticPr fontId="3" type="noConversion"/>
  </si>
  <si>
    <t>금   액</t>
    <phoneticPr fontId="3" type="noConversion"/>
  </si>
  <si>
    <t>단   위</t>
    <phoneticPr fontId="3" type="noConversion"/>
  </si>
  <si>
    <t>비 고</t>
    <phoneticPr fontId="3" type="noConversion"/>
  </si>
  <si>
    <t>증    감</t>
    <phoneticPr fontId="4" type="noConversion"/>
  </si>
  <si>
    <t>노인공동생활가정</t>
    <phoneticPr fontId="3" type="noConversion"/>
  </si>
  <si>
    <r>
      <rPr>
        <b/>
        <sz val="14"/>
        <color theme="1"/>
        <rFont val="맑은 고딕"/>
        <family val="3"/>
        <charset val="129"/>
        <scheme val="minor"/>
      </rPr>
      <t>1. 노란색으로 표시된 곳만 입력 합니다.
2.</t>
    </r>
    <r>
      <rPr>
        <b/>
        <sz val="20"/>
        <color rgb="FFFF0000"/>
        <rFont val="맑은 고딕"/>
        <family val="3"/>
        <charset val="129"/>
        <scheme val="minor"/>
      </rPr>
      <t xml:space="preserve"> '급여가이드'</t>
    </r>
    <r>
      <rPr>
        <b/>
        <sz val="14"/>
        <color theme="1"/>
        <rFont val="맑은 고딕"/>
        <family val="3"/>
        <charset val="129"/>
        <scheme val="minor"/>
      </rPr>
      <t xml:space="preserve">시트의 내용을 참조 하시어 기본급과 각종수당를 입력합니다.
3. 인건비 산정 비율의 비율값이 60.5%이상 나오도록 조정 합니다.
  </t>
    </r>
    <r>
      <rPr>
        <sz val="11"/>
        <color theme="1"/>
        <rFont val="맑은 고딕"/>
        <family val="2"/>
        <charset val="129"/>
        <scheme val="minor"/>
      </rPr>
      <t/>
    </r>
    <phoneticPr fontId="3" type="noConversion"/>
  </si>
  <si>
    <r>
      <t xml:space="preserve">제2조 </t>
    </r>
    <r>
      <rPr>
        <b/>
        <sz val="11"/>
        <rFont val="맑은 고딕"/>
        <family val="3"/>
        <charset val="129"/>
        <scheme val="minor"/>
      </rPr>
      <t>고양사랑방요양원</t>
    </r>
    <r>
      <rPr>
        <sz val="11"/>
        <rFont val="맑은 고딕"/>
        <family val="3"/>
        <charset val="129"/>
        <scheme val="minor"/>
      </rPr>
      <t>의 세입 • 세출 예산 총액은 아래와 같다.</t>
    </r>
    <phoneticPr fontId="3" type="noConversion"/>
  </si>
  <si>
    <r>
      <t>제1조</t>
    </r>
    <r>
      <rPr>
        <b/>
        <sz val="11"/>
        <rFont val="맑은 고딕"/>
        <family val="3"/>
        <charset val="129"/>
        <scheme val="minor"/>
      </rPr>
      <t xml:space="preserve"> 고양사랑방요양원의</t>
    </r>
    <r>
      <rPr>
        <sz val="11"/>
        <rFont val="맑은 고딕"/>
        <family val="3"/>
        <charset val="129"/>
        <scheme val="minor"/>
      </rPr>
      <t xml:space="preserve"> 2022년도 예산을 다음과 같이 편성한다.</t>
    </r>
    <phoneticPr fontId="3" type="noConversion"/>
  </si>
  <si>
    <t xml:space="preserve">    고양사랑방요양원</t>
    <phoneticPr fontId="3" type="noConversion"/>
  </si>
  <si>
    <t>06.요양급여수입</t>
    <phoneticPr fontId="3" type="noConversion"/>
  </si>
  <si>
    <t>조리원</t>
    <phoneticPr fontId="3" type="noConversion"/>
  </si>
  <si>
    <t>간호조무사</t>
    <phoneticPr fontId="3" type="noConversion"/>
  </si>
  <si>
    <t>요양보호사 1급</t>
  </si>
  <si>
    <t>요양보호사 1급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</si>
</sst>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#,##0&quot;원&quot;"/>
    <numFmt numFmtId="178" formatCode="#,##0_ "/>
    <numFmt numFmtId="179" formatCode=";;"/>
    <numFmt numFmtId="180" formatCode="_-* #,##0.00_-;\-* #,##0.00_-;_-* &quot;-&quot;_-;_-@_-"/>
    <numFmt numFmtId="181" formatCode="_-* #,##0_-;\-* #,##0_-;_-* &quot;-&quot;??_-;_-@_-"/>
    <numFmt numFmtId="182" formatCode="###,###,###,###,###,###"/>
  </numFmts>
  <fonts count="4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22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8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1"/>
      <color theme="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sz val="24"/>
      <name val="맑은 고딕"/>
      <family val="2"/>
      <charset val="129"/>
      <scheme val="minor"/>
    </font>
    <font>
      <sz val="2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  <font>
      <b/>
      <sz val="26"/>
      <name val="나눔고딕"/>
      <family val="3"/>
      <charset val="129"/>
    </font>
    <font>
      <sz val="1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ajor"/>
    </font>
    <font>
      <sz val="9"/>
      <color rgb="FFFF0000"/>
      <name val="굴림체"/>
      <family val="3"/>
      <charset val="129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12"/>
      <color theme="0"/>
      <name val="맑은 고딕"/>
      <family val="2"/>
      <charset val="129"/>
      <scheme val="minor"/>
    </font>
    <font>
      <sz val="12"/>
      <color theme="0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1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/>
    <xf numFmtId="41" fontId="5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41" fillId="0" borderId="0">
      <alignment vertical="center"/>
    </xf>
  </cellStyleXfs>
  <cellXfs count="502">
    <xf numFmtId="0" fontId="0" fillId="0" borderId="0" xfId="0">
      <alignment vertical="center"/>
    </xf>
    <xf numFmtId="0" fontId="6" fillId="0" borderId="0" xfId="0" applyFont="1" applyFill="1">
      <alignment vertical="center"/>
    </xf>
    <xf numFmtId="41" fontId="6" fillId="0" borderId="0" xfId="1" applyFont="1" applyFill="1">
      <alignment vertical="center"/>
    </xf>
    <xf numFmtId="41" fontId="6" fillId="0" borderId="0" xfId="0" applyNumberFormat="1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4" xfId="0" applyNumberFormat="1" applyFont="1" applyFill="1" applyBorder="1" applyAlignment="1">
      <alignment vertical="center"/>
    </xf>
    <xf numFmtId="177" fontId="6" fillId="0" borderId="17" xfId="0" applyNumberFormat="1" applyFont="1" applyFill="1" applyBorder="1" applyAlignment="1">
      <alignment vertical="center" shrinkToFit="1"/>
    </xf>
    <xf numFmtId="0" fontId="6" fillId="0" borderId="17" xfId="0" applyNumberFormat="1" applyFont="1" applyFill="1" applyBorder="1" applyAlignment="1">
      <alignment horizontal="left" vertical="center"/>
    </xf>
    <xf numFmtId="0" fontId="6" fillId="0" borderId="28" xfId="0" applyNumberFormat="1" applyFont="1" applyFill="1" applyBorder="1" applyAlignment="1">
      <alignment vertical="center"/>
    </xf>
    <xf numFmtId="0" fontId="8" fillId="3" borderId="30" xfId="0" applyNumberFormat="1" applyFont="1" applyFill="1" applyBorder="1" applyAlignment="1">
      <alignment horizontal="center" vertical="center"/>
    </xf>
    <xf numFmtId="0" fontId="8" fillId="3" borderId="31" xfId="0" applyNumberFormat="1" applyFont="1" applyFill="1" applyBorder="1" applyAlignment="1">
      <alignment horizontal="center" vertical="center"/>
    </xf>
    <xf numFmtId="0" fontId="6" fillId="0" borderId="28" xfId="0" applyNumberFormat="1" applyFont="1" applyFill="1" applyBorder="1" applyAlignment="1">
      <alignment horizontal="left" vertical="center"/>
    </xf>
    <xf numFmtId="0" fontId="6" fillId="0" borderId="29" xfId="0" applyNumberFormat="1" applyFont="1" applyFill="1" applyBorder="1" applyAlignment="1">
      <alignment horizontal="left" vertical="center"/>
    </xf>
    <xf numFmtId="176" fontId="6" fillId="0" borderId="0" xfId="0" applyNumberFormat="1" applyFont="1" applyFill="1" applyAlignment="1">
      <alignment horizontal="right" vertical="center"/>
    </xf>
    <xf numFmtId="178" fontId="6" fillId="0" borderId="0" xfId="0" applyNumberFormat="1" applyFont="1" applyFill="1" applyAlignment="1">
      <alignment vertical="center"/>
    </xf>
    <xf numFmtId="178" fontId="6" fillId="0" borderId="0" xfId="0" applyNumberFormat="1" applyFont="1" applyFill="1">
      <alignment vertical="center"/>
    </xf>
    <xf numFmtId="178" fontId="6" fillId="0" borderId="0" xfId="0" applyNumberFormat="1" applyFont="1" applyFill="1" applyAlignment="1">
      <alignment horizontal="right" vertical="center"/>
    </xf>
    <xf numFmtId="0" fontId="6" fillId="0" borderId="15" xfId="0" applyNumberFormat="1" applyFont="1" applyFill="1" applyBorder="1" applyAlignment="1">
      <alignment horizontal="left" vertical="center"/>
    </xf>
    <xf numFmtId="0" fontId="8" fillId="5" borderId="13" xfId="0" applyNumberFormat="1" applyFont="1" applyFill="1" applyBorder="1" applyAlignment="1">
      <alignment horizontal="left" vertical="center"/>
    </xf>
    <xf numFmtId="0" fontId="8" fillId="5" borderId="19" xfId="0" applyNumberFormat="1" applyFont="1" applyFill="1" applyBorder="1" applyAlignment="1">
      <alignment horizontal="left" vertical="center"/>
    </xf>
    <xf numFmtId="0" fontId="8" fillId="5" borderId="19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 wrapText="1"/>
    </xf>
    <xf numFmtId="0" fontId="10" fillId="0" borderId="0" xfId="2" applyNumberFormat="1" applyFont="1" applyFill="1" applyBorder="1" applyAlignment="1">
      <alignment horizontal="right" vertical="center"/>
    </xf>
    <xf numFmtId="178" fontId="11" fillId="0" borderId="0" xfId="0" applyNumberFormat="1" applyFont="1" applyFill="1" applyAlignment="1">
      <alignment vertical="center"/>
    </xf>
    <xf numFmtId="178" fontId="11" fillId="0" borderId="0" xfId="0" applyNumberFormat="1" applyFont="1" applyFill="1" applyAlignment="1">
      <alignment horizontal="right" vertical="center"/>
    </xf>
    <xf numFmtId="0" fontId="11" fillId="0" borderId="0" xfId="0" applyNumberFormat="1" applyFont="1" applyFill="1" applyAlignment="1">
      <alignment horizontal="center" vertical="center"/>
    </xf>
    <xf numFmtId="0" fontId="6" fillId="0" borderId="3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24" xfId="0" applyNumberFormat="1" applyFont="1" applyFill="1" applyBorder="1" applyAlignment="1">
      <alignment vertical="center"/>
    </xf>
    <xf numFmtId="0" fontId="6" fillId="0" borderId="32" xfId="0" applyNumberFormat="1" applyFont="1" applyFill="1" applyBorder="1" applyAlignment="1">
      <alignment horizontal="left" vertical="center"/>
    </xf>
    <xf numFmtId="0" fontId="6" fillId="0" borderId="84" xfId="0" applyNumberFormat="1" applyFont="1" applyFill="1" applyBorder="1" applyAlignment="1">
      <alignment horizontal="left" vertical="center"/>
    </xf>
    <xf numFmtId="0" fontId="6" fillId="0" borderId="88" xfId="0" applyNumberFormat="1" applyFont="1" applyFill="1" applyBorder="1" applyAlignment="1">
      <alignment horizontal="left" vertical="center"/>
    </xf>
    <xf numFmtId="0" fontId="6" fillId="0" borderId="92" xfId="0" applyNumberFormat="1" applyFont="1" applyFill="1" applyBorder="1" applyAlignment="1">
      <alignment horizontal="left" vertical="center"/>
    </xf>
    <xf numFmtId="0" fontId="6" fillId="0" borderId="3" xfId="0" applyNumberFormat="1" applyFont="1" applyFill="1" applyBorder="1" applyAlignment="1">
      <alignment vertical="center"/>
    </xf>
    <xf numFmtId="41" fontId="8" fillId="5" borderId="5" xfId="1" applyFont="1" applyFill="1" applyBorder="1">
      <alignment vertical="center"/>
    </xf>
    <xf numFmtId="41" fontId="8" fillId="5" borderId="39" xfId="1" applyFont="1" applyFill="1" applyBorder="1">
      <alignment vertical="center"/>
    </xf>
    <xf numFmtId="41" fontId="6" fillId="0" borderId="4" xfId="1" applyFont="1" applyFill="1" applyBorder="1">
      <alignment vertical="center"/>
    </xf>
    <xf numFmtId="41" fontId="6" fillId="0" borderId="40" xfId="1" applyFont="1" applyFill="1" applyBorder="1">
      <alignment vertical="center"/>
    </xf>
    <xf numFmtId="41" fontId="6" fillId="0" borderId="9" xfId="1" applyFont="1" applyFill="1" applyBorder="1" applyAlignment="1">
      <alignment horizontal="right" vertical="center"/>
    </xf>
    <xf numFmtId="41" fontId="6" fillId="0" borderId="9" xfId="1" applyFont="1" applyFill="1" applyBorder="1" applyAlignment="1">
      <alignment vertical="center"/>
    </xf>
    <xf numFmtId="41" fontId="6" fillId="0" borderId="10" xfId="1" applyFont="1" applyFill="1" applyBorder="1" applyAlignment="1">
      <alignment horizontal="right" vertical="center"/>
    </xf>
    <xf numFmtId="41" fontId="6" fillId="0" borderId="82" xfId="1" applyFont="1" applyFill="1" applyBorder="1" applyAlignment="1">
      <alignment horizontal="right" vertical="center"/>
    </xf>
    <xf numFmtId="41" fontId="6" fillId="0" borderId="82" xfId="1" applyFont="1" applyFill="1" applyBorder="1" applyAlignment="1">
      <alignment horizontal="center" vertical="center"/>
    </xf>
    <xf numFmtId="41" fontId="6" fillId="0" borderId="82" xfId="1" applyFont="1" applyFill="1" applyBorder="1" applyAlignment="1">
      <alignment vertical="center"/>
    </xf>
    <xf numFmtId="41" fontId="6" fillId="0" borderId="83" xfId="1" applyFont="1" applyFill="1" applyBorder="1" applyAlignment="1">
      <alignment horizontal="right" vertical="center"/>
    </xf>
    <xf numFmtId="41" fontId="6" fillId="0" borderId="86" xfId="1" applyFont="1" applyFill="1" applyBorder="1" applyAlignment="1">
      <alignment horizontal="right" vertical="center"/>
    </xf>
    <xf numFmtId="41" fontId="6" fillId="0" borderId="86" xfId="1" applyFont="1" applyFill="1" applyBorder="1" applyAlignment="1">
      <alignment horizontal="center" vertical="center"/>
    </xf>
    <xf numFmtId="41" fontId="6" fillId="0" borderId="86" xfId="1" applyFont="1" applyFill="1" applyBorder="1" applyAlignment="1">
      <alignment vertical="center"/>
    </xf>
    <xf numFmtId="41" fontId="6" fillId="0" borderId="87" xfId="1" applyFont="1" applyFill="1" applyBorder="1" applyAlignment="1">
      <alignment horizontal="right" vertical="center"/>
    </xf>
    <xf numFmtId="41" fontId="6" fillId="0" borderId="90" xfId="1" applyFont="1" applyFill="1" applyBorder="1" applyAlignment="1">
      <alignment horizontal="right" vertical="center"/>
    </xf>
    <xf numFmtId="41" fontId="6" fillId="0" borderId="90" xfId="1" applyFont="1" applyFill="1" applyBorder="1" applyAlignment="1">
      <alignment horizontal="center" vertical="center"/>
    </xf>
    <xf numFmtId="41" fontId="6" fillId="0" borderId="91" xfId="1" applyFont="1" applyFill="1" applyBorder="1" applyAlignment="1">
      <alignment horizontal="right" vertical="center"/>
    </xf>
    <xf numFmtId="41" fontId="6" fillId="0" borderId="1" xfId="1" applyFont="1" applyFill="1" applyBorder="1">
      <alignment vertical="center"/>
    </xf>
    <xf numFmtId="41" fontId="6" fillId="0" borderId="28" xfId="1" applyFont="1" applyFill="1" applyBorder="1">
      <alignment vertical="center"/>
    </xf>
    <xf numFmtId="41" fontId="6" fillId="0" borderId="41" xfId="1" applyFont="1" applyFill="1" applyBorder="1">
      <alignment vertical="center"/>
    </xf>
    <xf numFmtId="41" fontId="8" fillId="5" borderId="11" xfId="1" applyFont="1" applyFill="1" applyBorder="1">
      <alignment vertical="center"/>
    </xf>
    <xf numFmtId="41" fontId="8" fillId="5" borderId="37" xfId="1" applyFont="1" applyFill="1" applyBorder="1">
      <alignment vertical="center"/>
    </xf>
    <xf numFmtId="41" fontId="6" fillId="0" borderId="25" xfId="1" applyFont="1" applyFill="1" applyBorder="1" applyAlignment="1">
      <alignment horizontal="right" vertical="center"/>
    </xf>
    <xf numFmtId="41" fontId="6" fillId="0" borderId="25" xfId="1" applyFont="1" applyFill="1" applyBorder="1" applyAlignment="1">
      <alignment horizontal="center" vertical="center"/>
    </xf>
    <xf numFmtId="41" fontId="6" fillId="0" borderId="25" xfId="1" applyFont="1" applyFill="1" applyBorder="1" applyAlignment="1">
      <alignment vertical="center"/>
    </xf>
    <xf numFmtId="41" fontId="6" fillId="0" borderId="35" xfId="1" applyFont="1" applyFill="1" applyBorder="1" applyAlignment="1">
      <alignment horizontal="right" vertical="center"/>
    </xf>
    <xf numFmtId="41" fontId="6" fillId="0" borderId="20" xfId="1" applyFont="1" applyFill="1" applyBorder="1" applyAlignment="1">
      <alignment horizontal="center" vertical="center"/>
    </xf>
    <xf numFmtId="41" fontId="6" fillId="0" borderId="20" xfId="1" applyFont="1" applyFill="1" applyBorder="1" applyAlignment="1">
      <alignment vertical="center"/>
    </xf>
    <xf numFmtId="41" fontId="6" fillId="0" borderId="34" xfId="1" applyFont="1" applyFill="1" applyBorder="1" applyAlignment="1">
      <alignment horizontal="right" vertical="center"/>
    </xf>
    <xf numFmtId="41" fontId="6" fillId="0" borderId="45" xfId="1" applyFont="1" applyFill="1" applyBorder="1">
      <alignment vertical="center"/>
    </xf>
    <xf numFmtId="41" fontId="6" fillId="0" borderId="2" xfId="1" applyFont="1" applyFill="1" applyBorder="1" applyAlignment="1">
      <alignment horizontal="center" vertical="center"/>
    </xf>
    <xf numFmtId="41" fontId="6" fillId="0" borderId="2" xfId="1" applyFont="1" applyFill="1" applyBorder="1" applyAlignment="1">
      <alignment vertical="center"/>
    </xf>
    <xf numFmtId="41" fontId="6" fillId="0" borderId="24" xfId="1" applyFont="1" applyFill="1" applyBorder="1">
      <alignment vertical="center"/>
    </xf>
    <xf numFmtId="41" fontId="6" fillId="0" borderId="48" xfId="1" applyFont="1" applyFill="1" applyBorder="1">
      <alignment vertical="center"/>
    </xf>
    <xf numFmtId="41" fontId="6" fillId="0" borderId="2" xfId="1" applyFont="1" applyFill="1" applyBorder="1" applyAlignment="1">
      <alignment horizontal="right" vertical="center"/>
    </xf>
    <xf numFmtId="41" fontId="6" fillId="0" borderId="43" xfId="1" applyFont="1" applyFill="1" applyBorder="1" applyAlignment="1">
      <alignment horizontal="right" vertical="center"/>
    </xf>
    <xf numFmtId="41" fontId="6" fillId="0" borderId="47" xfId="1" applyFont="1" applyFill="1" applyBorder="1" applyAlignment="1">
      <alignment horizontal="right" vertical="center"/>
    </xf>
    <xf numFmtId="41" fontId="6" fillId="0" borderId="44" xfId="1" applyFont="1" applyFill="1" applyBorder="1" applyAlignment="1">
      <alignment horizontal="right" vertical="center"/>
    </xf>
    <xf numFmtId="178" fontId="11" fillId="0" borderId="0" xfId="0" applyNumberFormat="1" applyFont="1" applyFill="1" applyAlignment="1">
      <alignment horizontal="left" vertical="center"/>
    </xf>
    <xf numFmtId="178" fontId="6" fillId="0" borderId="0" xfId="0" applyNumberFormat="1" applyFont="1" applyFill="1" applyAlignment="1">
      <alignment horizontal="left" vertical="center"/>
    </xf>
    <xf numFmtId="41" fontId="8" fillId="5" borderId="5" xfId="1" applyFont="1" applyFill="1" applyBorder="1" applyAlignment="1">
      <alignment horizontal="right" vertical="center"/>
    </xf>
    <xf numFmtId="41" fontId="6" fillId="0" borderId="4" xfId="1" applyFont="1" applyFill="1" applyBorder="1" applyAlignment="1">
      <alignment horizontal="right" vertical="center"/>
    </xf>
    <xf numFmtId="41" fontId="6" fillId="0" borderId="1" xfId="1" applyFont="1" applyFill="1" applyBorder="1" applyAlignment="1">
      <alignment horizontal="right" vertical="center"/>
    </xf>
    <xf numFmtId="41" fontId="8" fillId="5" borderId="11" xfId="1" applyFont="1" applyFill="1" applyBorder="1" applyAlignment="1">
      <alignment horizontal="right" vertical="center"/>
    </xf>
    <xf numFmtId="41" fontId="6" fillId="0" borderId="81" xfId="1" applyFont="1" applyFill="1" applyBorder="1" applyAlignment="1">
      <alignment horizontal="right" vertical="center"/>
    </xf>
    <xf numFmtId="41" fontId="6" fillId="0" borderId="85" xfId="1" applyFont="1" applyFill="1" applyBorder="1" applyAlignment="1">
      <alignment horizontal="right" vertical="center"/>
    </xf>
    <xf numFmtId="41" fontId="6" fillId="0" borderId="89" xfId="1" applyFont="1" applyFill="1" applyBorder="1" applyAlignment="1">
      <alignment horizontal="right" vertical="center"/>
    </xf>
    <xf numFmtId="41" fontId="0" fillId="0" borderId="0" xfId="1" applyFont="1">
      <alignment vertical="center"/>
    </xf>
    <xf numFmtId="41" fontId="6" fillId="0" borderId="46" xfId="1" applyFont="1" applyFill="1" applyBorder="1" applyAlignment="1">
      <alignment horizontal="right" vertical="center"/>
    </xf>
    <xf numFmtId="41" fontId="16" fillId="0" borderId="0" xfId="1" applyFont="1">
      <alignment vertical="center"/>
    </xf>
    <xf numFmtId="41" fontId="18" fillId="0" borderId="4" xfId="1" applyFont="1" applyFill="1" applyBorder="1" applyAlignment="1">
      <alignment horizontal="center" vertical="center"/>
    </xf>
    <xf numFmtId="0" fontId="0" fillId="0" borderId="0" xfId="1" applyNumberFormat="1" applyFont="1">
      <alignment vertical="center"/>
    </xf>
    <xf numFmtId="0" fontId="0" fillId="0" borderId="0" xfId="1" applyNumberFormat="1" applyFont="1" applyAlignment="1">
      <alignment horizontal="center" vertical="center"/>
    </xf>
    <xf numFmtId="0" fontId="16" fillId="0" borderId="16" xfId="1" applyNumberFormat="1" applyFont="1" applyBorder="1" applyAlignment="1">
      <alignment horizontal="center" vertical="center"/>
    </xf>
    <xf numFmtId="41" fontId="19" fillId="7" borderId="4" xfId="1" applyNumberFormat="1" applyFont="1" applyFill="1" applyBorder="1">
      <alignment vertical="center"/>
    </xf>
    <xf numFmtId="41" fontId="11" fillId="7" borderId="4" xfId="1" applyFont="1" applyFill="1" applyBorder="1" applyAlignment="1">
      <alignment horizontal="center" vertical="center"/>
    </xf>
    <xf numFmtId="41" fontId="6" fillId="0" borderId="16" xfId="1" applyFont="1" applyFill="1" applyBorder="1" applyAlignment="1">
      <alignment horizontal="right" vertical="center"/>
    </xf>
    <xf numFmtId="41" fontId="6" fillId="0" borderId="4" xfId="1" applyNumberFormat="1" applyFont="1" applyFill="1" applyBorder="1">
      <alignment vertical="center"/>
    </xf>
    <xf numFmtId="180" fontId="6" fillId="0" borderId="4" xfId="1" applyNumberFormat="1" applyFont="1" applyFill="1" applyBorder="1">
      <alignment vertical="center"/>
    </xf>
    <xf numFmtId="41" fontId="6" fillId="0" borderId="17" xfId="1" applyNumberFormat="1" applyFont="1" applyFill="1" applyBorder="1">
      <alignment vertical="center"/>
    </xf>
    <xf numFmtId="41" fontId="6" fillId="0" borderId="27" xfId="1" applyFont="1" applyFill="1" applyBorder="1" applyAlignment="1">
      <alignment horizontal="right" vertical="center"/>
    </xf>
    <xf numFmtId="41" fontId="6" fillId="0" borderId="28" xfId="1" applyNumberFormat="1" applyFont="1" applyFill="1" applyBorder="1">
      <alignment vertical="center"/>
    </xf>
    <xf numFmtId="180" fontId="6" fillId="0" borderId="28" xfId="1" applyNumberFormat="1" applyFont="1" applyFill="1" applyBorder="1">
      <alignment vertical="center"/>
    </xf>
    <xf numFmtId="41" fontId="6" fillId="0" borderId="29" xfId="1" applyNumberFormat="1" applyFont="1" applyFill="1" applyBorder="1">
      <alignment vertical="center"/>
    </xf>
    <xf numFmtId="0" fontId="0" fillId="0" borderId="0" xfId="1" applyNumberFormat="1" applyFont="1" applyAlignment="1">
      <alignment vertical="center"/>
    </xf>
    <xf numFmtId="41" fontId="15" fillId="8" borderId="4" xfId="1" applyFont="1" applyFill="1" applyBorder="1">
      <alignment vertical="center"/>
    </xf>
    <xf numFmtId="41" fontId="0" fillId="0" borderId="0" xfId="1" applyFont="1" applyAlignment="1">
      <alignment vertical="center" wrapText="1"/>
    </xf>
    <xf numFmtId="41" fontId="6" fillId="2" borderId="28" xfId="1" applyNumberFormat="1" applyFont="1" applyFill="1" applyBorder="1" applyProtection="1">
      <alignment vertical="center"/>
      <protection locked="0"/>
    </xf>
    <xf numFmtId="0" fontId="15" fillId="8" borderId="4" xfId="1" applyNumberFormat="1" applyFont="1" applyFill="1" applyBorder="1" applyAlignment="1">
      <alignment horizontal="center" vertical="center"/>
    </xf>
    <xf numFmtId="41" fontId="15" fillId="8" borderId="4" xfId="1" applyFont="1" applyFill="1" applyBorder="1" applyAlignment="1">
      <alignment horizontal="center" vertical="center"/>
    </xf>
    <xf numFmtId="41" fontId="6" fillId="0" borderId="1" xfId="1" applyFont="1" applyFill="1" applyBorder="1" applyProtection="1">
      <alignment vertical="center"/>
      <protection locked="0"/>
    </xf>
    <xf numFmtId="41" fontId="6" fillId="0" borderId="9" xfId="1" applyFont="1" applyFill="1" applyBorder="1" applyAlignment="1" applyProtection="1">
      <alignment horizontal="right" vertical="center"/>
      <protection locked="0"/>
    </xf>
    <xf numFmtId="41" fontId="6" fillId="0" borderId="9" xfId="1" applyFont="1" applyFill="1" applyBorder="1" applyAlignment="1" applyProtection="1">
      <alignment vertical="center"/>
      <protection locked="0"/>
    </xf>
    <xf numFmtId="41" fontId="6" fillId="0" borderId="28" xfId="1" applyFont="1" applyFill="1" applyBorder="1" applyProtection="1">
      <alignment vertical="center"/>
      <protection locked="0"/>
    </xf>
    <xf numFmtId="41" fontId="8" fillId="5" borderId="39" xfId="1" applyFont="1" applyFill="1" applyBorder="1" applyAlignment="1">
      <alignment horizontal="right" vertical="center"/>
    </xf>
    <xf numFmtId="41" fontId="6" fillId="0" borderId="40" xfId="1" applyFont="1" applyFill="1" applyBorder="1" applyAlignment="1">
      <alignment horizontal="right" vertical="center"/>
    </xf>
    <xf numFmtId="41" fontId="6" fillId="0" borderId="43" xfId="1" applyFont="1" applyFill="1" applyBorder="1" applyAlignment="1">
      <alignment horizontal="left" vertical="center"/>
    </xf>
    <xf numFmtId="41" fontId="6" fillId="0" borderId="9" xfId="1" applyFont="1" applyFill="1" applyBorder="1" applyAlignment="1">
      <alignment horizontal="left" vertical="center"/>
    </xf>
    <xf numFmtId="41" fontId="6" fillId="0" borderId="44" xfId="1" applyFont="1" applyFill="1" applyBorder="1" applyAlignment="1">
      <alignment horizontal="left" vertical="center"/>
    </xf>
    <xf numFmtId="41" fontId="6" fillId="0" borderId="25" xfId="1" applyFont="1" applyFill="1" applyBorder="1" applyAlignment="1">
      <alignment horizontal="left" vertical="center"/>
    </xf>
    <xf numFmtId="41" fontId="8" fillId="5" borderId="37" xfId="1" applyFont="1" applyFill="1" applyBorder="1" applyAlignment="1">
      <alignment horizontal="right" vertical="center"/>
    </xf>
    <xf numFmtId="41" fontId="6" fillId="0" borderId="28" xfId="1" applyFont="1" applyFill="1" applyBorder="1" applyAlignment="1">
      <alignment horizontal="right" vertical="center"/>
    </xf>
    <xf numFmtId="41" fontId="6" fillId="0" borderId="41" xfId="1" applyFont="1" applyFill="1" applyBorder="1" applyAlignment="1">
      <alignment horizontal="right" vertical="center"/>
    </xf>
    <xf numFmtId="41" fontId="6" fillId="0" borderId="45" xfId="1" applyFont="1" applyFill="1" applyBorder="1" applyAlignment="1">
      <alignment horizontal="right" vertical="center"/>
    </xf>
    <xf numFmtId="41" fontId="6" fillId="0" borderId="47" xfId="1" applyFont="1" applyFill="1" applyBorder="1" applyAlignment="1">
      <alignment horizontal="left" vertical="center"/>
    </xf>
    <xf numFmtId="41" fontId="6" fillId="0" borderId="2" xfId="1" applyFont="1" applyFill="1" applyBorder="1">
      <alignment vertical="center"/>
    </xf>
    <xf numFmtId="41" fontId="6" fillId="0" borderId="2" xfId="1" applyFont="1" applyFill="1" applyBorder="1" applyAlignment="1">
      <alignment horizontal="left" vertical="center"/>
    </xf>
    <xf numFmtId="41" fontId="6" fillId="0" borderId="3" xfId="1" applyFont="1" applyFill="1" applyBorder="1" applyAlignment="1">
      <alignment horizontal="right" vertical="center"/>
    </xf>
    <xf numFmtId="41" fontId="6" fillId="0" borderId="9" xfId="1" applyFont="1" applyFill="1" applyBorder="1">
      <alignment vertical="center"/>
    </xf>
    <xf numFmtId="41" fontId="6" fillId="0" borderId="25" xfId="1" applyFont="1" applyFill="1" applyBorder="1">
      <alignment vertical="center"/>
    </xf>
    <xf numFmtId="41" fontId="15" fillId="8" borderId="23" xfId="1" applyFont="1" applyFill="1" applyBorder="1" applyAlignment="1">
      <alignment horizontal="center" vertical="center"/>
    </xf>
    <xf numFmtId="0" fontId="15" fillId="8" borderId="4" xfId="1" applyNumberFormat="1" applyFont="1" applyFill="1" applyBorder="1" applyAlignment="1">
      <alignment vertical="center"/>
    </xf>
    <xf numFmtId="41" fontId="6" fillId="0" borderId="25" xfId="1" applyFont="1" applyFill="1" applyBorder="1" applyAlignment="1" applyProtection="1">
      <alignment vertical="center"/>
      <protection locked="0"/>
    </xf>
    <xf numFmtId="41" fontId="6" fillId="0" borderId="4" xfId="1" applyFont="1" applyFill="1" applyBorder="1" applyProtection="1">
      <alignment vertical="center"/>
      <protection locked="0"/>
    </xf>
    <xf numFmtId="41" fontId="6" fillId="0" borderId="20" xfId="1" applyFont="1" applyFill="1" applyBorder="1" applyAlignment="1" applyProtection="1">
      <alignment vertical="center"/>
      <protection locked="0"/>
    </xf>
    <xf numFmtId="41" fontId="6" fillId="0" borderId="24" xfId="1" applyFont="1" applyFill="1" applyBorder="1" applyProtection="1">
      <alignment vertical="center"/>
      <protection locked="0"/>
    </xf>
    <xf numFmtId="0" fontId="6" fillId="0" borderId="3" xfId="0" applyNumberFormat="1" applyFont="1" applyFill="1" applyBorder="1" applyAlignment="1" applyProtection="1">
      <alignment horizontal="left" vertical="center"/>
      <protection locked="0"/>
    </xf>
    <xf numFmtId="41" fontId="6" fillId="0" borderId="4" xfId="1" applyFont="1" applyFill="1" applyBorder="1" applyAlignment="1" applyProtection="1">
      <alignment horizontal="right" vertical="center"/>
      <protection locked="0"/>
    </xf>
    <xf numFmtId="41" fontId="6" fillId="0" borderId="28" xfId="1" applyFont="1" applyFill="1" applyBorder="1" applyAlignment="1" applyProtection="1">
      <alignment horizontal="right" vertical="center"/>
      <protection locked="0"/>
    </xf>
    <xf numFmtId="0" fontId="25" fillId="0" borderId="4" xfId="1" applyNumberFormat="1" applyFont="1" applyFill="1" applyBorder="1" applyAlignment="1" applyProtection="1">
      <alignment horizontal="center" vertical="center"/>
    </xf>
    <xf numFmtId="0" fontId="26" fillId="0" borderId="57" xfId="0" applyNumberFormat="1" applyFont="1" applyFill="1" applyBorder="1" applyAlignment="1">
      <alignment vertical="center"/>
    </xf>
    <xf numFmtId="178" fontId="26" fillId="0" borderId="57" xfId="0" applyNumberFormat="1" applyFont="1" applyFill="1" applyBorder="1" applyAlignment="1">
      <alignment vertical="center"/>
    </xf>
    <xf numFmtId="0" fontId="26" fillId="0" borderId="57" xfId="2" applyNumberFormat="1" applyFont="1" applyFill="1" applyBorder="1" applyAlignment="1">
      <alignment horizontal="right" vertical="center"/>
    </xf>
    <xf numFmtId="0" fontId="16" fillId="2" borderId="4" xfId="1" applyNumberFormat="1" applyFont="1" applyFill="1" applyBorder="1" applyAlignment="1" applyProtection="1">
      <alignment horizontal="center" vertical="center"/>
      <protection locked="0"/>
    </xf>
    <xf numFmtId="41" fontId="17" fillId="2" borderId="4" xfId="1" applyNumberFormat="1" applyFont="1" applyFill="1" applyBorder="1" applyProtection="1">
      <alignment vertical="center"/>
      <protection locked="0"/>
    </xf>
    <xf numFmtId="41" fontId="16" fillId="2" borderId="4" xfId="1" applyFont="1" applyFill="1" applyBorder="1" applyProtection="1">
      <alignment vertical="center"/>
      <protection locked="0"/>
    </xf>
    <xf numFmtId="0" fontId="15" fillId="8" borderId="8" xfId="1" applyNumberFormat="1" applyFont="1" applyFill="1" applyBorder="1" applyAlignment="1">
      <alignment vertical="center"/>
    </xf>
    <xf numFmtId="0" fontId="15" fillId="8" borderId="10" xfId="1" applyNumberFormat="1" applyFont="1" applyFill="1" applyBorder="1" applyAlignment="1">
      <alignment vertical="center"/>
    </xf>
    <xf numFmtId="0" fontId="8" fillId="4" borderId="105" xfId="0" applyNumberFormat="1" applyFont="1" applyFill="1" applyBorder="1" applyAlignment="1">
      <alignment horizontal="center" vertical="center"/>
    </xf>
    <xf numFmtId="0" fontId="8" fillId="4" borderId="106" xfId="0" applyNumberFormat="1" applyFont="1" applyFill="1" applyBorder="1" applyAlignment="1">
      <alignment horizontal="center" vertical="center"/>
    </xf>
    <xf numFmtId="0" fontId="8" fillId="4" borderId="107" xfId="0" applyNumberFormat="1" applyFont="1" applyFill="1" applyBorder="1" applyAlignment="1">
      <alignment horizontal="center" vertical="center"/>
    </xf>
    <xf numFmtId="178" fontId="8" fillId="4" borderId="106" xfId="0" applyNumberFormat="1" applyFont="1" applyFill="1" applyBorder="1" applyAlignment="1">
      <alignment horizontal="center" vertical="center"/>
    </xf>
    <xf numFmtId="41" fontId="7" fillId="7" borderId="4" xfId="1" applyFont="1" applyFill="1" applyBorder="1" applyAlignment="1">
      <alignment horizontal="center" vertical="center"/>
    </xf>
    <xf numFmtId="41" fontId="15" fillId="8" borderId="17" xfId="1" applyFont="1" applyFill="1" applyBorder="1">
      <alignment vertical="center"/>
    </xf>
    <xf numFmtId="41" fontId="18" fillId="2" borderId="4" xfId="1" applyFont="1" applyFill="1" applyBorder="1" applyAlignment="1" applyProtection="1">
      <alignment horizontal="center" vertical="center"/>
      <protection locked="0"/>
    </xf>
    <xf numFmtId="0" fontId="8" fillId="4" borderId="111" xfId="0" applyNumberFormat="1" applyFont="1" applyFill="1" applyBorder="1" applyAlignment="1">
      <alignment horizontal="center" vertical="center"/>
    </xf>
    <xf numFmtId="41" fontId="6" fillId="0" borderId="86" xfId="1" applyFont="1" applyFill="1" applyBorder="1" applyAlignment="1">
      <alignment horizontal="left" vertical="center"/>
    </xf>
    <xf numFmtId="0" fontId="27" fillId="0" borderId="84" xfId="0" applyNumberFormat="1" applyFont="1" applyFill="1" applyBorder="1" applyAlignment="1">
      <alignment horizontal="left" vertical="center"/>
    </xf>
    <xf numFmtId="0" fontId="27" fillId="0" borderId="112" xfId="0" applyNumberFormat="1" applyFont="1" applyFill="1" applyBorder="1" applyAlignment="1">
      <alignment horizontal="left" vertical="center"/>
    </xf>
    <xf numFmtId="41" fontId="6" fillId="0" borderId="82" xfId="1" applyFont="1" applyFill="1" applyBorder="1" applyAlignment="1">
      <alignment horizontal="left" vertical="center"/>
    </xf>
    <xf numFmtId="41" fontId="6" fillId="0" borderId="90" xfId="1" applyFont="1" applyFill="1" applyBorder="1" applyAlignment="1">
      <alignment vertical="center"/>
    </xf>
    <xf numFmtId="41" fontId="6" fillId="0" borderId="90" xfId="1" applyFont="1" applyFill="1" applyBorder="1" applyAlignment="1">
      <alignment horizontal="left" vertical="center"/>
    </xf>
    <xf numFmtId="41" fontId="6" fillId="0" borderId="81" xfId="1" applyFont="1" applyFill="1" applyBorder="1" applyAlignment="1">
      <alignment horizontal="center" vertical="center"/>
    </xf>
    <xf numFmtId="41" fontId="6" fillId="0" borderId="85" xfId="1" applyFont="1" applyFill="1" applyBorder="1" applyAlignment="1">
      <alignment horizontal="center" vertical="center"/>
    </xf>
    <xf numFmtId="41" fontId="8" fillId="4" borderId="107" xfId="1" applyFont="1" applyFill="1" applyBorder="1" applyAlignment="1">
      <alignment horizontal="center" vertical="center"/>
    </xf>
    <xf numFmtId="41" fontId="6" fillId="0" borderId="0" xfId="1" applyFont="1" applyFill="1" applyAlignment="1">
      <alignment horizontal="right" vertical="center"/>
    </xf>
    <xf numFmtId="41" fontId="6" fillId="0" borderId="89" xfId="1" applyFont="1" applyFill="1" applyBorder="1" applyAlignment="1">
      <alignment horizontal="center" vertical="center"/>
    </xf>
    <xf numFmtId="41" fontId="6" fillId="0" borderId="114" xfId="1" applyFont="1" applyFill="1" applyBorder="1" applyAlignment="1">
      <alignment horizontal="center" vertical="center"/>
    </xf>
    <xf numFmtId="41" fontId="6" fillId="0" borderId="114" xfId="1" applyFont="1" applyFill="1" applyBorder="1" applyAlignment="1">
      <alignment vertical="center"/>
    </xf>
    <xf numFmtId="41" fontId="6" fillId="0" borderId="114" xfId="1" applyFont="1" applyFill="1" applyBorder="1" applyAlignment="1">
      <alignment horizontal="left" vertical="center"/>
    </xf>
    <xf numFmtId="41" fontId="6" fillId="0" borderId="114" xfId="1" applyFont="1" applyFill="1" applyBorder="1" applyAlignment="1">
      <alignment horizontal="right" vertical="center"/>
    </xf>
    <xf numFmtId="41" fontId="6" fillId="0" borderId="115" xfId="1" applyFont="1" applyFill="1" applyBorder="1" applyAlignment="1">
      <alignment horizontal="right" vertical="center"/>
    </xf>
    <xf numFmtId="41" fontId="6" fillId="0" borderId="40" xfId="1" applyFont="1" applyFill="1" applyBorder="1" applyAlignment="1">
      <alignment horizontal="right" vertical="top"/>
    </xf>
    <xf numFmtId="0" fontId="20" fillId="8" borderId="4" xfId="0" applyFont="1" applyFill="1" applyBorder="1" applyAlignment="1">
      <alignment horizontal="center" vertical="center"/>
    </xf>
    <xf numFmtId="0" fontId="20" fillId="9" borderId="4" xfId="0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left" vertical="center"/>
    </xf>
    <xf numFmtId="0" fontId="6" fillId="0" borderId="28" xfId="0" applyNumberFormat="1" applyFont="1" applyFill="1" applyBorder="1" applyAlignment="1">
      <alignment horizontal="center" vertical="center"/>
    </xf>
    <xf numFmtId="41" fontId="6" fillId="0" borderId="9" xfId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>
      <alignment vertical="center"/>
    </xf>
    <xf numFmtId="0" fontId="30" fillId="10" borderId="98" xfId="0" applyFont="1" applyFill="1" applyBorder="1" applyAlignment="1">
      <alignment horizontal="center" vertical="center"/>
    </xf>
    <xf numFmtId="41" fontId="26" fillId="0" borderId="99" xfId="1" applyFont="1" applyBorder="1">
      <alignment vertical="center"/>
    </xf>
    <xf numFmtId="41" fontId="26" fillId="0" borderId="0" xfId="1" applyFont="1">
      <alignment vertical="center"/>
    </xf>
    <xf numFmtId="49" fontId="30" fillId="10" borderId="54" xfId="0" applyNumberFormat="1" applyFont="1" applyFill="1" applyBorder="1" applyAlignment="1">
      <alignment horizontal="center" vertical="center" wrapText="1"/>
    </xf>
    <xf numFmtId="41" fontId="26" fillId="0" borderId="97" xfId="1" applyFont="1" applyBorder="1" applyAlignment="1">
      <alignment horizontal="center" vertical="center"/>
    </xf>
    <xf numFmtId="179" fontId="30" fillId="10" borderId="55" xfId="0" applyNumberFormat="1" applyFont="1" applyFill="1" applyBorder="1" applyAlignment="1">
      <alignment horizontal="center" vertical="center" wrapText="1"/>
    </xf>
    <xf numFmtId="41" fontId="26" fillId="0" borderId="56" xfId="1" applyFont="1" applyBorder="1" applyAlignment="1">
      <alignment horizontal="center" vertical="center"/>
    </xf>
    <xf numFmtId="179" fontId="30" fillId="10" borderId="100" xfId="0" applyNumberFormat="1" applyFont="1" applyFill="1" applyBorder="1" applyAlignment="1">
      <alignment horizontal="center" vertical="center" wrapText="1"/>
    </xf>
    <xf numFmtId="41" fontId="26" fillId="0" borderId="101" xfId="1" applyFont="1" applyBorder="1" applyAlignment="1">
      <alignment horizontal="center" vertical="center"/>
    </xf>
    <xf numFmtId="49" fontId="30" fillId="10" borderId="12" xfId="0" applyNumberFormat="1" applyFont="1" applyFill="1" applyBorder="1" applyAlignment="1">
      <alignment horizontal="center" vertical="center" wrapText="1"/>
    </xf>
    <xf numFmtId="41" fontId="26" fillId="0" borderId="13" xfId="1" applyFont="1" applyBorder="1">
      <alignment vertical="center"/>
    </xf>
    <xf numFmtId="49" fontId="30" fillId="10" borderId="16" xfId="0" applyNumberFormat="1" applyFont="1" applyFill="1" applyBorder="1" applyAlignment="1">
      <alignment horizontal="center" vertical="center" wrapText="1"/>
    </xf>
    <xf numFmtId="41" fontId="26" fillId="0" borderId="17" xfId="1" applyFont="1" applyBorder="1">
      <alignment vertical="center"/>
    </xf>
    <xf numFmtId="49" fontId="30" fillId="10" borderId="27" xfId="0" applyNumberFormat="1" applyFont="1" applyFill="1" applyBorder="1" applyAlignment="1">
      <alignment horizontal="center" vertical="center" wrapText="1"/>
    </xf>
    <xf numFmtId="41" fontId="26" fillId="0" borderId="29" xfId="1" applyFont="1" applyBorder="1">
      <alignment vertical="center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left" vertical="center" indent="3"/>
    </xf>
    <xf numFmtId="0" fontId="30" fillId="0" borderId="0" xfId="0" applyFont="1" applyAlignment="1">
      <alignment horizontal="left" vertical="center" wrapText="1" indent="3"/>
    </xf>
    <xf numFmtId="0" fontId="30" fillId="0" borderId="0" xfId="0" applyFont="1" applyAlignment="1">
      <alignment vertical="center" wrapText="1"/>
    </xf>
    <xf numFmtId="49" fontId="32" fillId="0" borderId="0" xfId="0" applyNumberFormat="1" applyFont="1" applyFill="1" applyBorder="1" applyAlignment="1">
      <alignment vertical="center" wrapText="1"/>
    </xf>
    <xf numFmtId="0" fontId="33" fillId="0" borderId="0" xfId="0" applyFont="1">
      <alignment vertical="center"/>
    </xf>
    <xf numFmtId="0" fontId="26" fillId="0" borderId="57" xfId="0" applyFont="1" applyBorder="1">
      <alignment vertical="center"/>
    </xf>
    <xf numFmtId="0" fontId="26" fillId="0" borderId="0" xfId="0" applyFont="1">
      <alignment vertical="center"/>
    </xf>
    <xf numFmtId="49" fontId="34" fillId="3" borderId="71" xfId="0" applyNumberFormat="1" applyFont="1" applyFill="1" applyBorder="1" applyAlignment="1">
      <alignment horizontal="center" vertical="center" wrapText="1"/>
    </xf>
    <xf numFmtId="49" fontId="34" fillId="3" borderId="78" xfId="0" applyNumberFormat="1" applyFont="1" applyFill="1" applyBorder="1" applyAlignment="1">
      <alignment horizontal="center" vertical="center" wrapText="1"/>
    </xf>
    <xf numFmtId="49" fontId="34" fillId="4" borderId="73" xfId="0" applyNumberFormat="1" applyFont="1" applyFill="1" applyBorder="1" applyAlignment="1">
      <alignment horizontal="center" vertical="center" wrapText="1"/>
    </xf>
    <xf numFmtId="49" fontId="34" fillId="4" borderId="71" xfId="0" applyNumberFormat="1" applyFont="1" applyFill="1" applyBorder="1" applyAlignment="1">
      <alignment horizontal="center" vertical="center" wrapText="1"/>
    </xf>
    <xf numFmtId="49" fontId="34" fillId="4" borderId="72" xfId="0" applyNumberFormat="1" applyFont="1" applyFill="1" applyBorder="1" applyAlignment="1">
      <alignment horizontal="center" vertical="center" wrapText="1"/>
    </xf>
    <xf numFmtId="49" fontId="30" fillId="0" borderId="68" xfId="0" applyNumberFormat="1" applyFont="1" applyFill="1" applyBorder="1" applyAlignment="1">
      <alignment horizontal="center" vertical="center" wrapText="1"/>
    </xf>
    <xf numFmtId="49" fontId="30" fillId="0" borderId="51" xfId="0" applyNumberFormat="1" applyFont="1" applyFill="1" applyBorder="1" applyAlignment="1">
      <alignment horizontal="left" vertical="center" wrapText="1"/>
    </xf>
    <xf numFmtId="178" fontId="30" fillId="0" borderId="51" xfId="0" applyNumberFormat="1" applyFont="1" applyFill="1" applyBorder="1" applyAlignment="1">
      <alignment horizontal="right" vertical="center" wrapText="1"/>
    </xf>
    <xf numFmtId="178" fontId="30" fillId="0" borderId="102" xfId="0" applyNumberFormat="1" applyFont="1" applyFill="1" applyBorder="1" applyAlignment="1">
      <alignment horizontal="right" vertical="center" wrapText="1"/>
    </xf>
    <xf numFmtId="49" fontId="30" fillId="0" borderId="74" xfId="0" applyNumberFormat="1" applyFont="1" applyFill="1" applyBorder="1" applyAlignment="1">
      <alignment vertical="center" wrapText="1"/>
    </xf>
    <xf numFmtId="49" fontId="30" fillId="0" borderId="51" xfId="0" applyNumberFormat="1" applyFont="1" applyFill="1" applyBorder="1" applyAlignment="1">
      <alignment vertical="center" wrapText="1"/>
    </xf>
    <xf numFmtId="178" fontId="30" fillId="0" borderId="51" xfId="0" applyNumberFormat="1" applyFont="1" applyFill="1" applyBorder="1" applyAlignment="1">
      <alignment vertical="center" wrapText="1"/>
    </xf>
    <xf numFmtId="178" fontId="30" fillId="0" borderId="69" xfId="0" applyNumberFormat="1" applyFont="1" applyFill="1" applyBorder="1" applyAlignment="1">
      <alignment vertical="center" wrapText="1"/>
    </xf>
    <xf numFmtId="49" fontId="30" fillId="0" borderId="55" xfId="0" applyNumberFormat="1" applyFont="1" applyFill="1" applyBorder="1" applyAlignment="1">
      <alignment horizontal="center" vertical="center" wrapText="1"/>
    </xf>
    <xf numFmtId="49" fontId="30" fillId="0" borderId="52" xfId="0" applyNumberFormat="1" applyFont="1" applyFill="1" applyBorder="1" applyAlignment="1">
      <alignment horizontal="left" vertical="center" wrapText="1"/>
    </xf>
    <xf numFmtId="178" fontId="30" fillId="0" borderId="52" xfId="0" applyNumberFormat="1" applyFont="1" applyFill="1" applyBorder="1" applyAlignment="1">
      <alignment horizontal="right" vertical="center" wrapText="1"/>
    </xf>
    <xf numFmtId="178" fontId="30" fillId="0" borderId="103" xfId="0" applyNumberFormat="1" applyFont="1" applyFill="1" applyBorder="1" applyAlignment="1">
      <alignment horizontal="right" vertical="center" wrapText="1"/>
    </xf>
    <xf numFmtId="49" fontId="30" fillId="0" borderId="50" xfId="0" applyNumberFormat="1" applyFont="1" applyFill="1" applyBorder="1" applyAlignment="1">
      <alignment vertical="center" wrapText="1"/>
    </xf>
    <xf numFmtId="49" fontId="30" fillId="0" borderId="52" xfId="0" applyNumberFormat="1" applyFont="1" applyFill="1" applyBorder="1" applyAlignment="1">
      <alignment vertical="center" wrapText="1"/>
    </xf>
    <xf numFmtId="178" fontId="30" fillId="0" borderId="52" xfId="0" applyNumberFormat="1" applyFont="1" applyFill="1" applyBorder="1" applyAlignment="1">
      <alignment vertical="center" wrapText="1"/>
    </xf>
    <xf numFmtId="178" fontId="30" fillId="0" borderId="56" xfId="0" applyNumberFormat="1" applyFont="1" applyFill="1" applyBorder="1" applyAlignment="1">
      <alignment vertical="center" wrapText="1"/>
    </xf>
    <xf numFmtId="179" fontId="30" fillId="0" borderId="52" xfId="0" applyNumberFormat="1" applyFont="1" applyFill="1" applyBorder="1" applyAlignment="1">
      <alignment horizontal="left" vertical="center" wrapText="1"/>
    </xf>
    <xf numFmtId="49" fontId="30" fillId="0" borderId="61" xfId="0" applyNumberFormat="1" applyFont="1" applyFill="1" applyBorder="1" applyAlignment="1">
      <alignment horizontal="center" vertical="center" wrapText="1"/>
    </xf>
    <xf numFmtId="179" fontId="30" fillId="0" borderId="49" xfId="0" applyNumberFormat="1" applyFont="1" applyFill="1" applyBorder="1" applyAlignment="1">
      <alignment horizontal="left" vertical="center" wrapText="1"/>
    </xf>
    <xf numFmtId="178" fontId="30" fillId="0" borderId="49" xfId="0" applyNumberFormat="1" applyFont="1" applyFill="1" applyBorder="1" applyAlignment="1">
      <alignment horizontal="right" vertical="center" wrapText="1"/>
    </xf>
    <xf numFmtId="178" fontId="30" fillId="0" borderId="104" xfId="0" applyNumberFormat="1" applyFont="1" applyFill="1" applyBorder="1" applyAlignment="1">
      <alignment horizontal="right" vertical="center" wrapText="1"/>
    </xf>
    <xf numFmtId="49" fontId="30" fillId="0" borderId="75" xfId="0" applyNumberFormat="1" applyFont="1" applyFill="1" applyBorder="1" applyAlignment="1">
      <alignment vertical="center" wrapText="1"/>
    </xf>
    <xf numFmtId="49" fontId="30" fillId="0" borderId="49" xfId="0" applyNumberFormat="1" applyFont="1" applyFill="1" applyBorder="1" applyAlignment="1">
      <alignment vertical="center" wrapText="1"/>
    </xf>
    <xf numFmtId="178" fontId="30" fillId="0" borderId="49" xfId="0" applyNumberFormat="1" applyFont="1" applyFill="1" applyBorder="1" applyAlignment="1">
      <alignment vertical="center" wrapText="1"/>
    </xf>
    <xf numFmtId="178" fontId="30" fillId="0" borderId="62" xfId="0" applyNumberFormat="1" applyFont="1" applyFill="1" applyBorder="1" applyAlignment="1">
      <alignment vertical="center" wrapText="1"/>
    </xf>
    <xf numFmtId="0" fontId="34" fillId="10" borderId="63" xfId="0" applyFont="1" applyFill="1" applyBorder="1">
      <alignment vertical="center"/>
    </xf>
    <xf numFmtId="178" fontId="34" fillId="10" borderId="66" xfId="0" applyNumberFormat="1" applyFont="1" applyFill="1" applyBorder="1" applyAlignment="1">
      <alignment horizontal="right" vertical="center" wrapText="1"/>
    </xf>
    <xf numFmtId="178" fontId="34" fillId="10" borderId="79" xfId="0" applyNumberFormat="1" applyFont="1" applyFill="1" applyBorder="1" applyAlignment="1">
      <alignment horizontal="right" vertical="center" wrapText="1"/>
    </xf>
    <xf numFmtId="178" fontId="34" fillId="10" borderId="66" xfId="0" applyNumberFormat="1" applyFont="1" applyFill="1" applyBorder="1" applyAlignment="1">
      <alignment vertical="center" wrapText="1"/>
    </xf>
    <xf numFmtId="178" fontId="34" fillId="10" borderId="67" xfId="0" applyNumberFormat="1" applyFont="1" applyFill="1" applyBorder="1" applyAlignment="1">
      <alignment vertical="center" wrapText="1"/>
    </xf>
    <xf numFmtId="178" fontId="33" fillId="0" borderId="0" xfId="0" applyNumberFormat="1" applyFont="1">
      <alignment vertical="center"/>
    </xf>
    <xf numFmtId="41" fontId="6" fillId="0" borderId="43" xfId="1" applyFont="1" applyFill="1" applyBorder="1" applyAlignment="1" applyProtection="1">
      <alignment horizontal="left" vertical="center"/>
    </xf>
    <xf numFmtId="41" fontId="6" fillId="0" borderId="81" xfId="1" applyFont="1" applyFill="1" applyBorder="1" applyAlignment="1" applyProtection="1">
      <alignment horizontal="left" vertical="center"/>
    </xf>
    <xf numFmtId="41" fontId="6" fillId="0" borderId="85" xfId="1" applyFont="1" applyFill="1" applyBorder="1" applyAlignment="1" applyProtection="1">
      <alignment horizontal="left" vertical="center"/>
    </xf>
    <xf numFmtId="41" fontId="6" fillId="0" borderId="89" xfId="1" applyFont="1" applyFill="1" applyBorder="1" applyAlignment="1" applyProtection="1">
      <alignment horizontal="left" vertical="center"/>
    </xf>
    <xf numFmtId="41" fontId="6" fillId="0" borderId="113" xfId="1" applyFont="1" applyFill="1" applyBorder="1" applyAlignment="1" applyProtection="1">
      <alignment horizontal="left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28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top"/>
    </xf>
    <xf numFmtId="41" fontId="6" fillId="0" borderId="9" xfId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41" fontId="6" fillId="0" borderId="1" xfId="1" applyFont="1" applyFill="1" applyBorder="1" applyAlignment="1" applyProtection="1">
      <alignment horizontal="right" vertical="center"/>
      <protection locked="0"/>
    </xf>
    <xf numFmtId="41" fontId="0" fillId="0" borderId="16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41" fontId="0" fillId="0" borderId="17" xfId="1" applyFont="1" applyBorder="1">
      <alignment vertical="center"/>
    </xf>
    <xf numFmtId="41" fontId="0" fillId="0" borderId="27" xfId="1" applyFont="1" applyBorder="1" applyAlignment="1">
      <alignment horizontal="center" vertical="center"/>
    </xf>
    <xf numFmtId="41" fontId="0" fillId="0" borderId="28" xfId="1" applyFont="1" applyBorder="1" applyAlignment="1">
      <alignment horizontal="center" vertical="center"/>
    </xf>
    <xf numFmtId="41" fontId="0" fillId="0" borderId="29" xfId="1" applyFont="1" applyBorder="1">
      <alignment vertical="center"/>
    </xf>
    <xf numFmtId="41" fontId="6" fillId="0" borderId="82" xfId="1" applyFont="1" applyFill="1" applyBorder="1" applyAlignment="1" applyProtection="1">
      <alignment vertical="center"/>
      <protection locked="0"/>
    </xf>
    <xf numFmtId="41" fontId="6" fillId="0" borderId="86" xfId="1" applyFont="1" applyFill="1" applyBorder="1" applyAlignment="1" applyProtection="1">
      <alignment vertical="center"/>
      <protection locked="0"/>
    </xf>
    <xf numFmtId="41" fontId="6" fillId="0" borderId="25" xfId="1" applyFont="1" applyFill="1" applyBorder="1" applyAlignment="1" applyProtection="1">
      <alignment horizontal="right" vertical="center"/>
      <protection locked="0"/>
    </xf>
    <xf numFmtId="41" fontId="6" fillId="0" borderId="90" xfId="1" applyFont="1" applyFill="1" applyBorder="1" applyAlignment="1" applyProtection="1">
      <alignment vertical="center"/>
      <protection locked="0"/>
    </xf>
    <xf numFmtId="41" fontId="6" fillId="0" borderId="20" xfId="1" applyFont="1" applyFill="1" applyBorder="1" applyAlignment="1" applyProtection="1">
      <alignment horizontal="right" vertical="center"/>
      <protection locked="0"/>
    </xf>
    <xf numFmtId="41" fontId="6" fillId="0" borderId="2" xfId="1" applyFont="1" applyFill="1" applyBorder="1" applyAlignment="1" applyProtection="1">
      <alignment horizontal="right" vertical="center"/>
      <protection locked="0"/>
    </xf>
    <xf numFmtId="41" fontId="6" fillId="0" borderId="9" xfId="1" applyFont="1" applyFill="1" applyBorder="1" applyAlignment="1">
      <alignment horizontal="center" vertical="center"/>
    </xf>
    <xf numFmtId="0" fontId="33" fillId="0" borderId="0" xfId="1" applyNumberFormat="1" applyFont="1" applyAlignment="1">
      <alignment horizontal="center" vertical="center"/>
    </xf>
    <xf numFmtId="0" fontId="33" fillId="0" borderId="0" xfId="1" applyNumberFormat="1" applyFont="1">
      <alignment vertical="center"/>
    </xf>
    <xf numFmtId="41" fontId="33" fillId="0" borderId="0" xfId="1" applyFont="1">
      <alignment vertical="center"/>
    </xf>
    <xf numFmtId="0" fontId="33" fillId="0" borderId="0" xfId="1" applyNumberFormat="1" applyFont="1" applyAlignment="1">
      <alignment vertical="center"/>
    </xf>
    <xf numFmtId="178" fontId="35" fillId="0" borderId="0" xfId="0" applyNumberFormat="1" applyFont="1" applyFill="1">
      <alignment vertical="center"/>
    </xf>
    <xf numFmtId="178" fontId="35" fillId="0" borderId="0" xfId="0" applyNumberFormat="1" applyFont="1" applyFill="1" applyAlignment="1">
      <alignment horizontal="left" vertical="center"/>
    </xf>
    <xf numFmtId="178" fontId="35" fillId="0" borderId="0" xfId="0" applyNumberFormat="1" applyFont="1" applyFill="1" applyAlignment="1">
      <alignment horizontal="right" vertical="center"/>
    </xf>
    <xf numFmtId="0" fontId="35" fillId="0" borderId="0" xfId="0" applyFont="1" applyFill="1" applyAlignment="1">
      <alignment horizontal="center" vertical="center"/>
    </xf>
    <xf numFmtId="178" fontId="35" fillId="0" borderId="0" xfId="0" applyNumberFormat="1" applyFont="1" applyFill="1" applyAlignment="1">
      <alignment vertical="center"/>
    </xf>
    <xf numFmtId="0" fontId="35" fillId="0" borderId="0" xfId="0" applyFont="1" applyFill="1">
      <alignment vertical="center"/>
    </xf>
    <xf numFmtId="41" fontId="35" fillId="0" borderId="0" xfId="1" applyFont="1" applyFill="1" applyAlignment="1">
      <alignment horizontal="right" vertical="center"/>
    </xf>
    <xf numFmtId="176" fontId="35" fillId="0" borderId="0" xfId="0" applyNumberFormat="1" applyFont="1" applyFill="1" applyAlignment="1">
      <alignment horizontal="right" vertical="center"/>
    </xf>
    <xf numFmtId="41" fontId="8" fillId="0" borderId="117" xfId="1" applyFont="1" applyFill="1" applyBorder="1">
      <alignment vertical="center"/>
    </xf>
    <xf numFmtId="41" fontId="8" fillId="0" borderId="118" xfId="1" applyFont="1" applyFill="1" applyBorder="1">
      <alignment vertical="center"/>
    </xf>
    <xf numFmtId="41" fontId="8" fillId="0" borderId="119" xfId="1" applyFont="1" applyFill="1" applyBorder="1" applyAlignment="1">
      <alignment horizontal="right" vertical="center"/>
    </xf>
    <xf numFmtId="41" fontId="8" fillId="0" borderId="120" xfId="1" applyFont="1" applyFill="1" applyBorder="1" applyAlignment="1">
      <alignment horizontal="right" vertical="center"/>
    </xf>
    <xf numFmtId="41" fontId="8" fillId="0" borderId="120" xfId="1" applyFont="1" applyFill="1" applyBorder="1" applyAlignment="1">
      <alignment horizontal="center" vertical="center"/>
    </xf>
    <xf numFmtId="41" fontId="8" fillId="0" borderId="120" xfId="1" applyFont="1" applyFill="1" applyBorder="1" applyAlignment="1">
      <alignment vertical="center"/>
    </xf>
    <xf numFmtId="41" fontId="8" fillId="0" borderId="121" xfId="1" applyFont="1" applyFill="1" applyBorder="1" applyAlignment="1">
      <alignment horizontal="right" vertical="center"/>
    </xf>
    <xf numFmtId="0" fontId="8" fillId="0" borderId="99" xfId="0" applyNumberFormat="1" applyFont="1" applyFill="1" applyBorder="1" applyAlignment="1">
      <alignment horizontal="left" vertical="center"/>
    </xf>
    <xf numFmtId="41" fontId="8" fillId="0" borderId="119" xfId="1" applyFont="1" applyFill="1" applyBorder="1" applyAlignment="1">
      <alignment horizontal="left" vertical="center"/>
    </xf>
    <xf numFmtId="41" fontId="8" fillId="0" borderId="120" xfId="1" applyFont="1" applyFill="1" applyBorder="1" applyAlignment="1">
      <alignment horizontal="left" vertical="center"/>
    </xf>
    <xf numFmtId="41" fontId="6" fillId="0" borderId="1" xfId="1" applyFont="1" applyFill="1" applyBorder="1" applyAlignment="1" applyProtection="1">
      <alignment horizontal="right" vertical="top"/>
      <protection locked="0"/>
    </xf>
    <xf numFmtId="0" fontId="37" fillId="0" borderId="52" xfId="0" applyFont="1" applyBorder="1" applyAlignment="1">
      <alignment horizontal="center" vertical="center" wrapText="1"/>
    </xf>
    <xf numFmtId="0" fontId="37" fillId="0" borderId="51" xfId="0" applyFont="1" applyBorder="1" applyAlignment="1">
      <alignment horizontal="center" vertical="center" wrapText="1"/>
    </xf>
    <xf numFmtId="0" fontId="36" fillId="0" borderId="49" xfId="0" applyFont="1" applyBorder="1" applyAlignment="1">
      <alignment horizontal="center" vertical="center" wrapText="1"/>
    </xf>
    <xf numFmtId="0" fontId="37" fillId="0" borderId="124" xfId="0" applyFont="1" applyBorder="1" applyAlignment="1">
      <alignment horizontal="center" vertical="center" wrapText="1"/>
    </xf>
    <xf numFmtId="0" fontId="38" fillId="6" borderId="52" xfId="0" applyFont="1" applyFill="1" applyBorder="1" applyAlignment="1">
      <alignment horizontal="center" vertical="center" wrapText="1"/>
    </xf>
    <xf numFmtId="0" fontId="38" fillId="6" borderId="52" xfId="0" applyFont="1" applyFill="1" applyBorder="1" applyAlignment="1">
      <alignment horizontal="left" vertical="center" wrapText="1"/>
    </xf>
    <xf numFmtId="49" fontId="38" fillId="6" borderId="52" xfId="0" applyNumberFormat="1" applyFont="1" applyFill="1" applyBorder="1" applyAlignment="1">
      <alignment horizontal="left" vertical="center" wrapText="1"/>
    </xf>
    <xf numFmtId="49" fontId="38" fillId="6" borderId="52" xfId="0" applyNumberFormat="1" applyFont="1" applyFill="1" applyBorder="1" applyAlignment="1">
      <alignment horizontal="center" vertical="center" wrapText="1"/>
    </xf>
    <xf numFmtId="182" fontId="38" fillId="6" borderId="52" xfId="0" applyNumberFormat="1" applyFont="1" applyFill="1" applyBorder="1" applyAlignment="1">
      <alignment horizontal="right" vertical="center" wrapText="1"/>
    </xf>
    <xf numFmtId="178" fontId="38" fillId="6" borderId="52" xfId="0" applyNumberFormat="1" applyFont="1" applyFill="1" applyBorder="1" applyAlignment="1">
      <alignment horizontal="right" vertical="center" wrapText="1"/>
    </xf>
    <xf numFmtId="0" fontId="38" fillId="11" borderId="51" xfId="0" applyFont="1" applyFill="1" applyBorder="1" applyAlignment="1">
      <alignment horizontal="center" vertical="center" wrapText="1"/>
    </xf>
    <xf numFmtId="49" fontId="38" fillId="11" borderId="51" xfId="0" applyNumberFormat="1" applyFont="1" applyFill="1" applyBorder="1" applyAlignment="1">
      <alignment horizontal="left" vertical="center" wrapText="1"/>
    </xf>
    <xf numFmtId="49" fontId="38" fillId="11" borderId="51" xfId="0" applyNumberFormat="1" applyFont="1" applyFill="1" applyBorder="1" applyAlignment="1">
      <alignment horizontal="center" vertical="center" wrapText="1"/>
    </xf>
    <xf numFmtId="182" fontId="38" fillId="11" borderId="51" xfId="0" applyNumberFormat="1" applyFont="1" applyFill="1" applyBorder="1" applyAlignment="1">
      <alignment horizontal="right" vertical="center" wrapText="1"/>
    </xf>
    <xf numFmtId="178" fontId="38" fillId="11" borderId="51" xfId="0" applyNumberFormat="1" applyFont="1" applyFill="1" applyBorder="1" applyAlignment="1">
      <alignment horizontal="right" vertical="center" wrapText="1"/>
    </xf>
    <xf numFmtId="0" fontId="38" fillId="6" borderId="51" xfId="0" applyFont="1" applyFill="1" applyBorder="1" applyAlignment="1">
      <alignment horizontal="center" vertical="center" wrapText="1"/>
    </xf>
    <xf numFmtId="49" fontId="38" fillId="6" borderId="51" xfId="0" applyNumberFormat="1" applyFont="1" applyFill="1" applyBorder="1" applyAlignment="1">
      <alignment horizontal="left" vertical="center" wrapText="1"/>
    </xf>
    <xf numFmtId="49" fontId="38" fillId="6" borderId="51" xfId="0" applyNumberFormat="1" applyFont="1" applyFill="1" applyBorder="1" applyAlignment="1">
      <alignment horizontal="center" vertical="center" wrapText="1"/>
    </xf>
    <xf numFmtId="182" fontId="38" fillId="6" borderId="51" xfId="0" applyNumberFormat="1" applyFont="1" applyFill="1" applyBorder="1" applyAlignment="1">
      <alignment horizontal="right" vertical="center" wrapText="1"/>
    </xf>
    <xf numFmtId="178" fontId="38" fillId="6" borderId="51" xfId="0" applyNumberFormat="1" applyFont="1" applyFill="1" applyBorder="1" applyAlignment="1">
      <alignment horizontal="right" vertical="center" wrapText="1"/>
    </xf>
    <xf numFmtId="181" fontId="19" fillId="13" borderId="4" xfId="1" applyNumberFormat="1" applyFont="1" applyFill="1" applyBorder="1">
      <alignment vertical="center"/>
    </xf>
    <xf numFmtId="0" fontId="15" fillId="15" borderId="8" xfId="1" applyNumberFormat="1" applyFont="1" applyFill="1" applyBorder="1" applyAlignment="1">
      <alignment vertical="center"/>
    </xf>
    <xf numFmtId="0" fontId="15" fillId="15" borderId="10" xfId="1" applyNumberFormat="1" applyFont="1" applyFill="1" applyBorder="1" applyAlignment="1">
      <alignment vertical="center"/>
    </xf>
    <xf numFmtId="0" fontId="15" fillId="15" borderId="4" xfId="1" applyNumberFormat="1" applyFont="1" applyFill="1" applyBorder="1" applyAlignment="1">
      <alignment vertical="center"/>
    </xf>
    <xf numFmtId="0" fontId="15" fillId="15" borderId="4" xfId="1" applyNumberFormat="1" applyFont="1" applyFill="1" applyBorder="1" applyAlignment="1">
      <alignment horizontal="center" vertical="center"/>
    </xf>
    <xf numFmtId="41" fontId="15" fillId="15" borderId="4" xfId="1" applyFont="1" applyFill="1" applyBorder="1">
      <alignment vertical="center"/>
    </xf>
    <xf numFmtId="49" fontId="16" fillId="12" borderId="4" xfId="0" applyNumberFormat="1" applyFont="1" applyFill="1" applyBorder="1" applyAlignment="1">
      <alignment horizontal="center" vertical="center"/>
    </xf>
    <xf numFmtId="49" fontId="16" fillId="0" borderId="4" xfId="0" quotePrefix="1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49" fontId="16" fillId="0" borderId="4" xfId="1" applyNumberFormat="1" applyFont="1" applyBorder="1" applyAlignment="1">
      <alignment horizontal="center" vertical="center"/>
    </xf>
    <xf numFmtId="49" fontId="23" fillId="2" borderId="4" xfId="1" applyNumberFormat="1" applyFont="1" applyFill="1" applyBorder="1">
      <alignment vertical="center"/>
    </xf>
    <xf numFmtId="49" fontId="16" fillId="0" borderId="4" xfId="1" applyNumberFormat="1" applyFont="1" applyBorder="1">
      <alignment vertical="center"/>
    </xf>
    <xf numFmtId="49" fontId="16" fillId="0" borderId="17" xfId="1" applyNumberFormat="1" applyFont="1" applyBorder="1">
      <alignment vertical="center"/>
    </xf>
    <xf numFmtId="49" fontId="23" fillId="0" borderId="4" xfId="1" applyNumberFormat="1" applyFont="1" applyBorder="1">
      <alignment vertical="center"/>
    </xf>
    <xf numFmtId="49" fontId="16" fillId="13" borderId="4" xfId="0" applyNumberFormat="1" applyFont="1" applyFill="1" applyBorder="1" applyAlignment="1">
      <alignment horizontal="center" vertical="center"/>
    </xf>
    <xf numFmtId="49" fontId="16" fillId="0" borderId="16" xfId="0" applyNumberFormat="1" applyFont="1" applyBorder="1" applyAlignment="1">
      <alignment horizontal="center" vertical="center"/>
    </xf>
    <xf numFmtId="49" fontId="16" fillId="0" borderId="27" xfId="0" applyNumberFormat="1" applyFont="1" applyBorder="1" applyAlignment="1">
      <alignment horizontal="center" vertical="center"/>
    </xf>
    <xf numFmtId="49" fontId="16" fillId="0" borderId="28" xfId="0" applyNumberFormat="1" applyFont="1" applyBorder="1" applyAlignment="1">
      <alignment horizontal="center" vertical="center"/>
    </xf>
    <xf numFmtId="49" fontId="16" fillId="0" borderId="28" xfId="1" applyNumberFormat="1" applyFont="1" applyBorder="1" applyAlignment="1">
      <alignment horizontal="center" vertical="center"/>
    </xf>
    <xf numFmtId="49" fontId="23" fillId="0" borderId="28" xfId="1" applyNumberFormat="1" applyFont="1" applyBorder="1">
      <alignment vertical="center"/>
    </xf>
    <xf numFmtId="49" fontId="16" fillId="0" borderId="28" xfId="1" applyNumberFormat="1" applyFont="1" applyBorder="1">
      <alignment vertical="center"/>
    </xf>
    <xf numFmtId="49" fontId="16" fillId="0" borderId="29" xfId="1" applyNumberFormat="1" applyFont="1" applyBorder="1">
      <alignment vertical="center"/>
    </xf>
    <xf numFmtId="43" fontId="21" fillId="0" borderId="20" xfId="5" applyNumberFormat="1" applyFont="1" applyBorder="1" applyAlignment="1">
      <alignment vertical="center" wrapText="1"/>
    </xf>
    <xf numFmtId="41" fontId="6" fillId="13" borderId="83" xfId="1" applyFont="1" applyFill="1" applyBorder="1" applyAlignment="1">
      <alignment horizontal="right" vertical="center"/>
    </xf>
    <xf numFmtId="41" fontId="6" fillId="13" borderId="91" xfId="1" applyFont="1" applyFill="1" applyBorder="1" applyAlignment="1">
      <alignment horizontal="right" vertical="center"/>
    </xf>
    <xf numFmtId="41" fontId="6" fillId="13" borderId="0" xfId="1" applyFont="1" applyFill="1" applyAlignment="1">
      <alignment horizontal="right" vertical="center"/>
    </xf>
    <xf numFmtId="0" fontId="28" fillId="0" borderId="0" xfId="0" applyFont="1" applyAlignment="1">
      <alignment horizontal="center" vertical="center"/>
    </xf>
    <xf numFmtId="49" fontId="31" fillId="0" borderId="0" xfId="0" applyNumberFormat="1" applyFont="1" applyFill="1" applyBorder="1" applyAlignment="1">
      <alignment horizontal="center" vertical="center" wrapText="1"/>
    </xf>
    <xf numFmtId="49" fontId="34" fillId="10" borderId="76" xfId="0" applyNumberFormat="1" applyFont="1" applyFill="1" applyBorder="1" applyAlignment="1">
      <alignment horizontal="center" vertical="center" wrapText="1"/>
    </xf>
    <xf numFmtId="49" fontId="34" fillId="10" borderId="65" xfId="0" applyNumberFormat="1" applyFont="1" applyFill="1" applyBorder="1" applyAlignment="1">
      <alignment horizontal="center" vertical="center" wrapText="1"/>
    </xf>
    <xf numFmtId="49" fontId="34" fillId="3" borderId="58" xfId="0" applyNumberFormat="1" applyFont="1" applyFill="1" applyBorder="1" applyAlignment="1">
      <alignment horizontal="center" vertical="center" wrapText="1"/>
    </xf>
    <xf numFmtId="49" fontId="34" fillId="3" borderId="59" xfId="0" applyNumberFormat="1" applyFont="1" applyFill="1" applyBorder="1" applyAlignment="1">
      <alignment horizontal="center" vertical="center" wrapText="1"/>
    </xf>
    <xf numFmtId="49" fontId="34" fillId="3" borderId="77" xfId="0" applyNumberFormat="1" applyFont="1" applyFill="1" applyBorder="1" applyAlignment="1">
      <alignment horizontal="center" vertical="center" wrapText="1"/>
    </xf>
    <xf numFmtId="49" fontId="34" fillId="4" borderId="59" xfId="0" applyNumberFormat="1" applyFont="1" applyFill="1" applyBorder="1" applyAlignment="1">
      <alignment horizontal="center" vertical="center" wrapText="1"/>
    </xf>
    <xf numFmtId="49" fontId="34" fillId="4" borderId="60" xfId="0" applyNumberFormat="1" applyFont="1" applyFill="1" applyBorder="1" applyAlignment="1">
      <alignment horizontal="center" vertical="center" wrapText="1"/>
    </xf>
    <xf numFmtId="49" fontId="34" fillId="10" borderId="64" xfId="0" applyNumberFormat="1" applyFont="1" applyFill="1" applyBorder="1" applyAlignment="1">
      <alignment horizontal="center" vertical="center" wrapText="1"/>
    </xf>
    <xf numFmtId="49" fontId="34" fillId="3" borderId="54" xfId="0" applyNumberFormat="1" applyFont="1" applyFill="1" applyBorder="1" applyAlignment="1">
      <alignment horizontal="center" vertical="center" wrapText="1"/>
    </xf>
    <xf numFmtId="49" fontId="34" fillId="3" borderId="70" xfId="0" applyNumberFormat="1" applyFont="1" applyFill="1" applyBorder="1" applyAlignment="1">
      <alignment horizontal="center" vertical="center" wrapText="1"/>
    </xf>
    <xf numFmtId="178" fontId="26" fillId="0" borderId="57" xfId="0" applyNumberFormat="1" applyFont="1" applyFill="1" applyBorder="1" applyAlignment="1">
      <alignment horizontal="center" vertical="center"/>
    </xf>
    <xf numFmtId="0" fontId="9" fillId="0" borderId="0" xfId="2" applyNumberFormat="1" applyFont="1" applyFill="1" applyAlignment="1">
      <alignment horizontal="center" vertical="center" shrinkToFit="1"/>
    </xf>
    <xf numFmtId="0" fontId="9" fillId="0" borderId="0" xfId="0" applyNumberFormat="1" applyFont="1" applyFill="1" applyAlignment="1">
      <alignment vertical="center" shrinkToFit="1"/>
    </xf>
    <xf numFmtId="0" fontId="8" fillId="3" borderId="12" xfId="0" applyNumberFormat="1" applyFont="1" applyFill="1" applyBorder="1" applyAlignment="1">
      <alignment horizontal="center" vertical="center"/>
    </xf>
    <xf numFmtId="0" fontId="8" fillId="3" borderId="11" xfId="0" applyNumberFormat="1" applyFont="1" applyFill="1" applyBorder="1" applyAlignment="1">
      <alignment horizontal="center" vertical="center"/>
    </xf>
    <xf numFmtId="178" fontId="8" fillId="3" borderId="11" xfId="0" applyNumberFormat="1" applyFont="1" applyFill="1" applyBorder="1" applyAlignment="1">
      <alignment horizontal="center" vertical="center" wrapText="1"/>
    </xf>
    <xf numFmtId="178" fontId="8" fillId="3" borderId="31" xfId="0" applyNumberFormat="1" applyFont="1" applyFill="1" applyBorder="1" applyAlignment="1">
      <alignment horizontal="center" vertical="center"/>
    </xf>
    <xf numFmtId="178" fontId="8" fillId="3" borderId="37" xfId="0" applyNumberFormat="1" applyFont="1" applyFill="1" applyBorder="1" applyAlignment="1">
      <alignment horizontal="center" vertical="center" wrapText="1"/>
    </xf>
    <xf numFmtId="178" fontId="8" fillId="3" borderId="38" xfId="0" applyNumberFormat="1" applyFont="1" applyFill="1" applyBorder="1" applyAlignment="1">
      <alignment horizontal="center" vertical="center"/>
    </xf>
    <xf numFmtId="0" fontId="8" fillId="4" borderId="33" xfId="0" applyNumberFormat="1" applyFont="1" applyFill="1" applyBorder="1" applyAlignment="1">
      <alignment horizontal="center" vertical="center"/>
    </xf>
    <xf numFmtId="0" fontId="8" fillId="4" borderId="36" xfId="0" applyNumberFormat="1" applyFont="1" applyFill="1" applyBorder="1" applyAlignment="1">
      <alignment horizontal="center" vertical="center"/>
    </xf>
    <xf numFmtId="0" fontId="8" fillId="4" borderId="42" xfId="0" applyNumberFormat="1" applyFont="1" applyFill="1" applyBorder="1" applyAlignment="1">
      <alignment horizontal="center" vertical="center"/>
    </xf>
    <xf numFmtId="0" fontId="8" fillId="4" borderId="22" xfId="0" applyNumberFormat="1" applyFont="1" applyFill="1" applyBorder="1" applyAlignment="1">
      <alignment horizontal="center" vertical="center"/>
    </xf>
    <xf numFmtId="0" fontId="8" fillId="4" borderId="23" xfId="0" applyNumberFormat="1" applyFont="1" applyFill="1" applyBorder="1" applyAlignment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  <protection locked="0"/>
    </xf>
    <xf numFmtId="0" fontId="8" fillId="4" borderId="108" xfId="0" applyNumberFormat="1" applyFont="1" applyFill="1" applyBorder="1" applyAlignment="1">
      <alignment horizontal="center" vertical="center"/>
    </xf>
    <xf numFmtId="0" fontId="8" fillId="4" borderId="109" xfId="0" applyNumberFormat="1" applyFont="1" applyFill="1" applyBorder="1" applyAlignment="1">
      <alignment horizontal="center" vertical="center"/>
    </xf>
    <xf numFmtId="0" fontId="8" fillId="4" borderId="110" xfId="0" applyNumberFormat="1" applyFont="1" applyFill="1" applyBorder="1" applyAlignment="1">
      <alignment horizontal="center" vertical="center"/>
    </xf>
    <xf numFmtId="178" fontId="11" fillId="0" borderId="20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left" vertical="center"/>
    </xf>
    <xf numFmtId="0" fontId="6" fillId="0" borderId="10" xfId="0" applyNumberFormat="1" applyFont="1" applyFill="1" applyBorder="1" applyAlignment="1">
      <alignment horizontal="left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28" xfId="0" applyNumberFormat="1" applyFont="1" applyFill="1" applyBorder="1" applyAlignment="1">
      <alignment horizontal="center" vertical="center"/>
    </xf>
    <xf numFmtId="0" fontId="8" fillId="5" borderId="26" xfId="0" applyNumberFormat="1" applyFont="1" applyFill="1" applyBorder="1" applyAlignment="1">
      <alignment horizontal="left" vertical="center"/>
    </xf>
    <xf numFmtId="0" fontId="8" fillId="5" borderId="6" xfId="0" applyNumberFormat="1" applyFont="1" applyFill="1" applyBorder="1" applyAlignment="1">
      <alignment horizontal="left" vertical="center"/>
    </xf>
    <xf numFmtId="0" fontId="8" fillId="5" borderId="7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53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top"/>
    </xf>
    <xf numFmtId="0" fontId="6" fillId="0" borderId="53" xfId="0" applyNumberFormat="1" applyFont="1" applyFill="1" applyBorder="1" applyAlignment="1">
      <alignment horizontal="left" vertical="top"/>
    </xf>
    <xf numFmtId="0" fontId="6" fillId="0" borderId="5" xfId="0" applyNumberFormat="1" applyFont="1" applyFill="1" applyBorder="1" applyAlignment="1">
      <alignment horizontal="left" vertical="top"/>
    </xf>
    <xf numFmtId="0" fontId="6" fillId="0" borderId="16" xfId="0" applyNumberFormat="1" applyFont="1" applyFill="1" applyBorder="1" applyAlignment="1">
      <alignment horizontal="center" vertical="center" wrapText="1"/>
    </xf>
    <xf numFmtId="0" fontId="6" fillId="0" borderId="1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5" borderId="21" xfId="0" applyNumberFormat="1" applyFont="1" applyFill="1" applyBorder="1" applyAlignment="1">
      <alignment horizontal="left" vertical="center"/>
    </xf>
    <xf numFmtId="0" fontId="8" fillId="5" borderId="22" xfId="0" applyNumberFormat="1" applyFont="1" applyFill="1" applyBorder="1" applyAlignment="1">
      <alignment horizontal="left" vertical="center"/>
    </xf>
    <xf numFmtId="0" fontId="8" fillId="5" borderId="23" xfId="0" applyNumberFormat="1" applyFont="1" applyFill="1" applyBorder="1" applyAlignment="1">
      <alignment horizontal="left" vertical="center"/>
    </xf>
    <xf numFmtId="0" fontId="6" fillId="0" borderId="16" xfId="0" applyNumberFormat="1" applyFont="1" applyFill="1" applyBorder="1" applyAlignment="1">
      <alignment horizontal="center"/>
    </xf>
    <xf numFmtId="0" fontId="6" fillId="0" borderId="27" xfId="0" applyNumberFormat="1" applyFont="1" applyFill="1" applyBorder="1" applyAlignment="1">
      <alignment horizontal="center"/>
    </xf>
    <xf numFmtId="0" fontId="6" fillId="0" borderId="14" xfId="0" applyNumberFormat="1" applyFont="1" applyFill="1" applyBorder="1" applyAlignment="1">
      <alignment horizontal="center"/>
    </xf>
    <xf numFmtId="0" fontId="8" fillId="5" borderId="12" xfId="0" applyNumberFormat="1" applyFont="1" applyFill="1" applyBorder="1" applyAlignment="1">
      <alignment horizontal="left" vertical="center"/>
    </xf>
    <xf numFmtId="0" fontId="8" fillId="5" borderId="11" xfId="0" applyNumberFormat="1" applyFont="1" applyFill="1" applyBorder="1" applyAlignment="1">
      <alignment horizontal="left" vertical="center"/>
    </xf>
    <xf numFmtId="0" fontId="6" fillId="0" borderId="27" xfId="0" applyNumberFormat="1" applyFont="1" applyFill="1" applyBorder="1" applyAlignment="1">
      <alignment horizontal="center" vertical="center" wrapText="1"/>
    </xf>
    <xf numFmtId="0" fontId="6" fillId="0" borderId="28" xfId="0" applyNumberFormat="1" applyFont="1" applyFill="1" applyBorder="1" applyAlignment="1">
      <alignment horizontal="center" vertical="center" wrapText="1"/>
    </xf>
    <xf numFmtId="0" fontId="8" fillId="5" borderId="18" xfId="0" applyNumberFormat="1" applyFont="1" applyFill="1" applyBorder="1" applyAlignment="1">
      <alignment horizontal="left" vertical="center"/>
    </xf>
    <xf numFmtId="0" fontId="8" fillId="5" borderId="5" xfId="0" applyNumberFormat="1" applyFont="1" applyFill="1" applyBorder="1" applyAlignment="1">
      <alignment horizontal="left" vertical="center"/>
    </xf>
    <xf numFmtId="0" fontId="8" fillId="0" borderId="98" xfId="0" applyNumberFormat="1" applyFont="1" applyFill="1" applyBorder="1" applyAlignment="1">
      <alignment horizontal="center" vertical="center"/>
    </xf>
    <xf numFmtId="0" fontId="8" fillId="0" borderId="117" xfId="0" applyNumberFormat="1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/>
    </xf>
    <xf numFmtId="0" fontId="6" fillId="0" borderId="27" xfId="0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 applyProtection="1">
      <alignment horizontal="center" vertical="top"/>
      <protection locked="0"/>
    </xf>
    <xf numFmtId="41" fontId="6" fillId="0" borderId="53" xfId="1" applyFont="1" applyFill="1" applyBorder="1" applyAlignment="1" applyProtection="1">
      <alignment horizontal="center" vertical="top"/>
      <protection locked="0"/>
    </xf>
    <xf numFmtId="41" fontId="6" fillId="0" borderId="5" xfId="1" applyFont="1" applyFill="1" applyBorder="1" applyAlignment="1" applyProtection="1">
      <alignment horizontal="center" vertical="top"/>
      <protection locked="0"/>
    </xf>
    <xf numFmtId="41" fontId="6" fillId="0" borderId="1" xfId="1" applyFont="1" applyFill="1" applyBorder="1" applyAlignment="1">
      <alignment horizontal="right" vertical="top"/>
    </xf>
    <xf numFmtId="41" fontId="6" fillId="0" borderId="53" xfId="1" applyFont="1" applyFill="1" applyBorder="1" applyAlignment="1">
      <alignment horizontal="right" vertical="top"/>
    </xf>
    <xf numFmtId="41" fontId="6" fillId="0" borderId="5" xfId="1" applyFont="1" applyFill="1" applyBorder="1" applyAlignment="1">
      <alignment horizontal="right" vertical="top"/>
    </xf>
    <xf numFmtId="41" fontId="6" fillId="0" borderId="45" xfId="1" applyFont="1" applyFill="1" applyBorder="1" applyAlignment="1">
      <alignment horizontal="right" vertical="top"/>
    </xf>
    <xf numFmtId="41" fontId="6" fillId="0" borderId="80" xfId="1" applyFont="1" applyFill="1" applyBorder="1" applyAlignment="1">
      <alignment horizontal="right" vertical="top"/>
    </xf>
    <xf numFmtId="41" fontId="6" fillId="0" borderId="39" xfId="1" applyFont="1" applyFill="1" applyBorder="1" applyAlignment="1">
      <alignment horizontal="right" vertical="top"/>
    </xf>
    <xf numFmtId="41" fontId="6" fillId="0" borderId="43" xfId="1" applyFont="1" applyFill="1" applyBorder="1" applyAlignment="1">
      <alignment horizontal="center" vertical="center"/>
    </xf>
    <xf numFmtId="41" fontId="6" fillId="0" borderId="9" xfId="1" applyFont="1" applyFill="1" applyBorder="1" applyAlignment="1">
      <alignment horizontal="center" vertical="center"/>
    </xf>
    <xf numFmtId="41" fontId="6" fillId="0" borderId="10" xfId="1" applyFont="1" applyFill="1" applyBorder="1" applyAlignment="1">
      <alignment horizontal="center" vertical="center"/>
    </xf>
    <xf numFmtId="41" fontId="8" fillId="5" borderId="94" xfId="1" applyFont="1" applyFill="1" applyBorder="1" applyAlignment="1">
      <alignment horizontal="center" vertical="center"/>
    </xf>
    <xf numFmtId="41" fontId="8" fillId="5" borderId="93" xfId="1" applyFont="1" applyFill="1" applyBorder="1" applyAlignment="1">
      <alignment horizontal="center" vertical="center"/>
    </xf>
    <xf numFmtId="41" fontId="8" fillId="5" borderId="95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/>
    </xf>
    <xf numFmtId="0" fontId="6" fillId="0" borderId="53" xfId="0" applyFont="1" applyFill="1" applyBorder="1" applyAlignment="1">
      <alignment horizontal="left" vertical="top"/>
    </xf>
    <xf numFmtId="41" fontId="6" fillId="0" borderId="1" xfId="1" applyFont="1" applyFill="1" applyBorder="1" applyAlignment="1" applyProtection="1">
      <alignment horizontal="right" vertical="top"/>
      <protection locked="0"/>
    </xf>
    <xf numFmtId="41" fontId="6" fillId="0" borderId="53" xfId="1" applyFont="1" applyFill="1" applyBorder="1" applyAlignment="1" applyProtection="1">
      <alignment horizontal="right" vertical="top"/>
      <protection locked="0"/>
    </xf>
    <xf numFmtId="41" fontId="8" fillId="5" borderId="42" xfId="1" applyFont="1" applyFill="1" applyBorder="1" applyAlignment="1">
      <alignment horizontal="center" vertical="center"/>
    </xf>
    <xf numFmtId="41" fontId="8" fillId="5" borderId="22" xfId="1" applyFont="1" applyFill="1" applyBorder="1" applyAlignment="1">
      <alignment horizontal="center" vertical="center"/>
    </xf>
    <xf numFmtId="41" fontId="8" fillId="5" borderId="23" xfId="1" applyFont="1" applyFill="1" applyBorder="1" applyAlignment="1">
      <alignment horizontal="center" vertical="center"/>
    </xf>
    <xf numFmtId="0" fontId="6" fillId="0" borderId="24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14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vertical="center"/>
    </xf>
    <xf numFmtId="0" fontId="6" fillId="0" borderId="10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6" fillId="0" borderId="53" xfId="0" applyNumberFormat="1" applyFont="1" applyFill="1" applyBorder="1" applyAlignment="1">
      <alignment vertical="center"/>
    </xf>
    <xf numFmtId="0" fontId="6" fillId="0" borderId="8" xfId="0" applyNumberFormat="1" applyFont="1" applyFill="1" applyBorder="1" applyAlignment="1" applyProtection="1">
      <alignment horizontal="left" vertical="center"/>
      <protection locked="0"/>
    </xf>
    <xf numFmtId="0" fontId="6" fillId="0" borderId="10" xfId="0" applyNumberFormat="1" applyFont="1" applyFill="1" applyBorder="1" applyAlignment="1" applyProtection="1">
      <alignment horizontal="left" vertical="center"/>
      <protection locked="0"/>
    </xf>
    <xf numFmtId="0" fontId="7" fillId="3" borderId="1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top"/>
    </xf>
    <xf numFmtId="0" fontId="6" fillId="0" borderId="53" xfId="0" applyFont="1" applyFill="1" applyBorder="1" applyAlignment="1">
      <alignment vertical="top"/>
    </xf>
    <xf numFmtId="41" fontId="6" fillId="0" borderId="5" xfId="1" applyFont="1" applyFill="1" applyBorder="1" applyAlignment="1" applyProtection="1">
      <alignment horizontal="right" vertical="top"/>
      <protection locked="0"/>
    </xf>
    <xf numFmtId="0" fontId="6" fillId="0" borderId="5" xfId="0" applyFont="1" applyFill="1" applyBorder="1" applyAlignment="1">
      <alignment vertical="top"/>
    </xf>
    <xf numFmtId="41" fontId="6" fillId="0" borderId="48" xfId="1" applyFont="1" applyFill="1" applyBorder="1" applyAlignment="1">
      <alignment horizontal="right" vertical="top"/>
    </xf>
    <xf numFmtId="0" fontId="6" fillId="0" borderId="1" xfId="0" applyFont="1" applyFill="1" applyBorder="1" applyAlignment="1">
      <alignment horizontal="left" vertical="center"/>
    </xf>
    <xf numFmtId="0" fontId="6" fillId="0" borderId="53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24" xfId="0" applyFont="1" applyFill="1" applyBorder="1" applyAlignment="1">
      <alignment horizontal="left" vertical="center"/>
    </xf>
    <xf numFmtId="41" fontId="6" fillId="0" borderId="24" xfId="1" applyFont="1" applyFill="1" applyBorder="1" applyAlignment="1" applyProtection="1">
      <alignment horizontal="right" vertical="top"/>
      <protection locked="0"/>
    </xf>
    <xf numFmtId="41" fontId="6" fillId="0" borderId="24" xfId="1" applyFont="1" applyFill="1" applyBorder="1" applyAlignment="1">
      <alignment horizontal="right" vertical="top"/>
    </xf>
    <xf numFmtId="49" fontId="36" fillId="0" borderId="122" xfId="0" applyNumberFormat="1" applyFont="1" applyBorder="1" applyAlignment="1">
      <alignment horizontal="center" vertical="center" wrapText="1"/>
    </xf>
    <xf numFmtId="49" fontId="36" fillId="0" borderId="123" xfId="0" applyNumberFormat="1" applyFont="1" applyBorder="1" applyAlignment="1">
      <alignment horizontal="center" vertical="center" wrapText="1"/>
    </xf>
    <xf numFmtId="49" fontId="36" fillId="0" borderId="50" xfId="0" applyNumberFormat="1" applyFont="1" applyBorder="1" applyAlignment="1">
      <alignment horizontal="center" vertical="center" wrapText="1"/>
    </xf>
    <xf numFmtId="0" fontId="36" fillId="0" borderId="122" xfId="0" applyFont="1" applyBorder="1" applyAlignment="1">
      <alignment horizontal="center" vertical="center" wrapText="1"/>
    </xf>
    <xf numFmtId="0" fontId="36" fillId="0" borderId="123" xfId="0" applyFont="1" applyBorder="1" applyAlignment="1">
      <alignment horizontal="center" vertical="center" wrapText="1"/>
    </xf>
    <xf numFmtId="0" fontId="36" fillId="0" borderId="50" xfId="0" applyFont="1" applyBorder="1" applyAlignment="1">
      <alignment horizontal="center" vertical="center" wrapText="1"/>
    </xf>
    <xf numFmtId="0" fontId="36" fillId="0" borderId="49" xfId="0" applyFont="1" applyBorder="1" applyAlignment="1">
      <alignment horizontal="center" vertical="center" wrapText="1"/>
    </xf>
    <xf numFmtId="0" fontId="36" fillId="0" borderId="124" xfId="0" applyFont="1" applyBorder="1" applyAlignment="1">
      <alignment horizontal="center" vertical="center" wrapText="1"/>
    </xf>
    <xf numFmtId="0" fontId="36" fillId="0" borderId="51" xfId="0" applyFont="1" applyBorder="1" applyAlignment="1">
      <alignment horizontal="center" vertical="center" wrapText="1"/>
    </xf>
    <xf numFmtId="41" fontId="15" fillId="8" borderId="96" xfId="1" applyFont="1" applyFill="1" applyBorder="1" applyAlignment="1">
      <alignment horizontal="center" vertical="center"/>
    </xf>
    <xf numFmtId="41" fontId="15" fillId="8" borderId="22" xfId="1" applyFont="1" applyFill="1" applyBorder="1" applyAlignment="1">
      <alignment horizontal="center" vertical="center"/>
    </xf>
    <xf numFmtId="41" fontId="15" fillId="8" borderId="23" xfId="1" applyFont="1" applyFill="1" applyBorder="1" applyAlignment="1">
      <alignment horizontal="center" vertical="center"/>
    </xf>
    <xf numFmtId="41" fontId="15" fillId="8" borderId="13" xfId="1" applyFont="1" applyFill="1" applyBorder="1" applyAlignment="1">
      <alignment horizontal="center" vertical="center"/>
    </xf>
    <xf numFmtId="41" fontId="15" fillId="8" borderId="17" xfId="1" applyFont="1" applyFill="1" applyBorder="1" applyAlignment="1">
      <alignment horizontal="center" vertical="center"/>
    </xf>
    <xf numFmtId="41" fontId="12" fillId="0" borderId="20" xfId="1" applyFont="1" applyBorder="1" applyAlignment="1">
      <alignment horizontal="center" vertical="center" wrapText="1"/>
    </xf>
    <xf numFmtId="0" fontId="13" fillId="0" borderId="20" xfId="1" applyNumberFormat="1" applyFont="1" applyBorder="1" applyAlignment="1">
      <alignment horizontal="left" vertical="center" wrapText="1" indent="2"/>
    </xf>
    <xf numFmtId="0" fontId="15" fillId="8" borderId="12" xfId="1" applyNumberFormat="1" applyFont="1" applyFill="1" applyBorder="1" applyAlignment="1">
      <alignment horizontal="center" vertical="center"/>
    </xf>
    <xf numFmtId="0" fontId="15" fillId="8" borderId="16" xfId="1" applyNumberFormat="1" applyFont="1" applyFill="1" applyBorder="1" applyAlignment="1">
      <alignment horizontal="center" vertical="center"/>
    </xf>
    <xf numFmtId="0" fontId="15" fillId="8" borderId="96" xfId="1" applyNumberFormat="1" applyFont="1" applyFill="1" applyBorder="1" applyAlignment="1">
      <alignment horizontal="center" vertical="center"/>
    </xf>
    <xf numFmtId="0" fontId="15" fillId="8" borderId="22" xfId="1" applyNumberFormat="1" applyFont="1" applyFill="1" applyBorder="1" applyAlignment="1">
      <alignment horizontal="center" vertical="center"/>
    </xf>
    <xf numFmtId="0" fontId="15" fillId="8" borderId="23" xfId="1" applyNumberFormat="1" applyFont="1" applyFill="1" applyBorder="1" applyAlignment="1">
      <alignment horizontal="center" vertical="center"/>
    </xf>
    <xf numFmtId="41" fontId="15" fillId="8" borderId="11" xfId="1" applyFont="1" applyFill="1" applyBorder="1" applyAlignment="1">
      <alignment horizontal="center" vertical="center"/>
    </xf>
    <xf numFmtId="41" fontId="15" fillId="8" borderId="4" xfId="1" applyFont="1" applyFill="1" applyBorder="1" applyAlignment="1">
      <alignment horizontal="center" vertical="center"/>
    </xf>
    <xf numFmtId="41" fontId="15" fillId="8" borderId="11" xfId="1" applyFont="1" applyFill="1" applyBorder="1" applyAlignment="1">
      <alignment horizontal="center" vertical="center" wrapText="1"/>
    </xf>
    <xf numFmtId="49" fontId="16" fillId="16" borderId="14" xfId="0" applyNumberFormat="1" applyFont="1" applyFill="1" applyBorder="1" applyAlignment="1">
      <alignment horizontal="center" vertical="center"/>
    </xf>
    <xf numFmtId="49" fontId="16" fillId="16" borderId="116" xfId="0" applyNumberFormat="1" applyFont="1" applyFill="1" applyBorder="1" applyAlignment="1">
      <alignment horizontal="center" vertical="center"/>
    </xf>
    <xf numFmtId="49" fontId="16" fillId="16" borderId="18" xfId="0" applyNumberFormat="1" applyFont="1" applyFill="1" applyBorder="1" applyAlignment="1">
      <alignment horizontal="center" vertical="center"/>
    </xf>
    <xf numFmtId="49" fontId="16" fillId="0" borderId="4" xfId="1" applyNumberFormat="1" applyFont="1" applyBorder="1" applyAlignment="1">
      <alignment horizontal="center" vertical="center"/>
    </xf>
    <xf numFmtId="49" fontId="16" fillId="0" borderId="28" xfId="1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8" borderId="12" xfId="0" applyFont="1" applyFill="1" applyBorder="1" applyAlignment="1">
      <alignment horizontal="center" vertical="center"/>
    </xf>
    <xf numFmtId="0" fontId="20" fillId="8" borderId="16" xfId="0" applyFont="1" applyFill="1" applyBorder="1" applyAlignment="1">
      <alignment horizontal="center" vertical="center"/>
    </xf>
    <xf numFmtId="0" fontId="20" fillId="8" borderId="11" xfId="0" applyFont="1" applyFill="1" applyBorder="1" applyAlignment="1">
      <alignment horizontal="center" vertical="center"/>
    </xf>
    <xf numFmtId="0" fontId="20" fillId="8" borderId="4" xfId="0" applyFont="1" applyFill="1" applyBorder="1" applyAlignment="1">
      <alignment horizontal="center" vertical="center"/>
    </xf>
    <xf numFmtId="0" fontId="20" fillId="8" borderId="11" xfId="0" applyFont="1" applyFill="1" applyBorder="1" applyAlignment="1">
      <alignment horizontal="center" vertical="center" wrapText="1"/>
    </xf>
    <xf numFmtId="0" fontId="20" fillId="8" borderId="4" xfId="0" applyFont="1" applyFill="1" applyBorder="1" applyAlignment="1">
      <alignment horizontal="center" vertical="center" wrapText="1"/>
    </xf>
    <xf numFmtId="0" fontId="20" fillId="9" borderId="11" xfId="0" applyFont="1" applyFill="1" applyBorder="1" applyAlignment="1">
      <alignment horizontal="center" vertical="center"/>
    </xf>
    <xf numFmtId="0" fontId="20" fillId="9" borderId="4" xfId="0" applyFont="1" applyFill="1" applyBorder="1" applyAlignment="1">
      <alignment horizontal="center" vertical="center"/>
    </xf>
    <xf numFmtId="0" fontId="20" fillId="8" borderId="13" xfId="0" applyFont="1" applyFill="1" applyBorder="1" applyAlignment="1">
      <alignment horizontal="center" vertical="center"/>
    </xf>
    <xf numFmtId="0" fontId="20" fillId="8" borderId="17" xfId="0" applyFont="1" applyFill="1" applyBorder="1" applyAlignment="1">
      <alignment horizontal="center" vertical="center"/>
    </xf>
    <xf numFmtId="0" fontId="40" fillId="14" borderId="117" xfId="0" applyFont="1" applyFill="1" applyBorder="1" applyAlignment="1">
      <alignment horizontal="center" vertical="center"/>
    </xf>
    <xf numFmtId="0" fontId="40" fillId="14" borderId="99" xfId="0" applyFont="1" applyFill="1" applyBorder="1" applyAlignment="1">
      <alignment horizontal="center" vertical="center"/>
    </xf>
    <xf numFmtId="0" fontId="39" fillId="14" borderId="98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3" fillId="7" borderId="12" xfId="0" applyFont="1" applyFill="1" applyBorder="1" applyAlignment="1">
      <alignment horizontal="center" vertical="center"/>
    </xf>
    <xf numFmtId="0" fontId="13" fillId="7" borderId="16" xfId="0" applyFont="1" applyFill="1" applyBorder="1" applyAlignment="1">
      <alignment horizontal="center" vertical="center"/>
    </xf>
    <xf numFmtId="0" fontId="13" fillId="7" borderId="11" xfId="0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/>
    </xf>
    <xf numFmtId="0" fontId="13" fillId="7" borderId="13" xfId="0" applyFont="1" applyFill="1" applyBorder="1" applyAlignment="1">
      <alignment horizontal="center" vertical="center"/>
    </xf>
    <xf numFmtId="0" fontId="13" fillId="7" borderId="17" xfId="0" applyFont="1" applyFill="1" applyBorder="1" applyAlignment="1">
      <alignment horizontal="center" vertical="center"/>
    </xf>
    <xf numFmtId="41" fontId="11" fillId="7" borderId="13" xfId="1" applyFont="1" applyFill="1" applyBorder="1" applyAlignment="1">
      <alignment horizontal="center" vertical="center"/>
    </xf>
    <xf numFmtId="41" fontId="11" fillId="7" borderId="17" xfId="1" applyFont="1" applyFill="1" applyBorder="1" applyAlignment="1">
      <alignment horizontal="center" vertical="center"/>
    </xf>
    <xf numFmtId="41" fontId="11" fillId="7" borderId="12" xfId="1" applyFont="1" applyFill="1" applyBorder="1" applyAlignment="1">
      <alignment horizontal="center" vertical="center"/>
    </xf>
    <xf numFmtId="41" fontId="11" fillId="7" borderId="16" xfId="1" applyFont="1" applyFill="1" applyBorder="1" applyAlignment="1">
      <alignment horizontal="center" vertical="center"/>
    </xf>
    <xf numFmtId="41" fontId="11" fillId="7" borderId="11" xfId="1" applyFont="1" applyFill="1" applyBorder="1" applyAlignment="1">
      <alignment horizontal="center" vertical="center"/>
    </xf>
    <xf numFmtId="41" fontId="11" fillId="7" borderId="4" xfId="1" applyFont="1" applyFill="1" applyBorder="1" applyAlignment="1">
      <alignment horizontal="center" vertical="center"/>
    </xf>
    <xf numFmtId="41" fontId="11" fillId="7" borderId="11" xfId="1" applyFont="1" applyFill="1" applyBorder="1" applyAlignment="1">
      <alignment horizontal="center" vertical="center" wrapText="1"/>
    </xf>
    <xf numFmtId="41" fontId="11" fillId="7" borderId="4" xfId="1" applyFont="1" applyFill="1" applyBorder="1" applyAlignment="1">
      <alignment horizontal="center" vertical="center" wrapText="1"/>
    </xf>
  </cellXfs>
  <cellStyles count="7">
    <cellStyle name="백분율" xfId="5" builtinId="5"/>
    <cellStyle name="쉼표 [0]" xfId="1" builtinId="6"/>
    <cellStyle name="쉼표 [0] 2" xfId="4"/>
    <cellStyle name="표준" xfId="0" builtinId="0"/>
    <cellStyle name="표준 2" xfId="6"/>
    <cellStyle name="표준 2 3" xfId="3"/>
    <cellStyle name="표준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23"/>
  <sheetViews>
    <sheetView workbookViewId="0">
      <selection activeCell="B13" sqref="B13"/>
    </sheetView>
  </sheetViews>
  <sheetFormatPr defaultRowHeight="16.5"/>
  <cols>
    <col min="1" max="1" width="36.875" style="175" customWidth="1"/>
    <col min="2" max="2" width="36.625" style="175" customWidth="1"/>
    <col min="3" max="16384" width="9" style="175"/>
  </cols>
  <sheetData>
    <row r="1" spans="1:17" ht="59.25" customHeight="1">
      <c r="A1" s="330" t="s">
        <v>411</v>
      </c>
      <c r="B1" s="330"/>
      <c r="C1" s="330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</row>
    <row r="2" spans="1:17" ht="30" customHeight="1">
      <c r="A2" s="175" t="s">
        <v>425</v>
      </c>
    </row>
    <row r="3" spans="1:17" ht="30" customHeight="1" thickBot="1">
      <c r="A3" s="175" t="s">
        <v>424</v>
      </c>
    </row>
    <row r="4" spans="1:17" ht="30" customHeight="1" thickBot="1">
      <c r="A4" s="176" t="s">
        <v>330</v>
      </c>
      <c r="B4" s="177">
        <f>예산총괄표!E18</f>
        <v>928798163.0072</v>
      </c>
    </row>
    <row r="5" spans="1:17" ht="30" customHeight="1" thickBot="1">
      <c r="A5" s="176" t="s">
        <v>331</v>
      </c>
      <c r="B5" s="177">
        <f>예산총괄표!J18</f>
        <v>928798163.0072</v>
      </c>
    </row>
    <row r="6" spans="1:17" ht="30" customHeight="1" thickBot="1">
      <c r="A6" s="175" t="s">
        <v>236</v>
      </c>
      <c r="B6" s="178"/>
    </row>
    <row r="7" spans="1:17" ht="30" customHeight="1">
      <c r="A7" s="179" t="s">
        <v>237</v>
      </c>
      <c r="B7" s="180">
        <f>예산총괄표!E5</f>
        <v>228378540</v>
      </c>
    </row>
    <row r="8" spans="1:17" ht="30" customHeight="1">
      <c r="A8" s="181" t="s">
        <v>238</v>
      </c>
      <c r="B8" s="182">
        <f>예산총괄표!E8</f>
        <v>12912000</v>
      </c>
    </row>
    <row r="9" spans="1:17" ht="30" customHeight="1" thickBot="1">
      <c r="A9" s="183" t="s">
        <v>239</v>
      </c>
      <c r="B9" s="184">
        <f>예산총괄표!E10</f>
        <v>589189572</v>
      </c>
    </row>
    <row r="10" spans="1:17" ht="30" customHeight="1" thickBot="1">
      <c r="A10" s="175" t="s">
        <v>240</v>
      </c>
      <c r="B10" s="178"/>
    </row>
    <row r="11" spans="1:17" ht="30" customHeight="1">
      <c r="A11" s="185" t="s">
        <v>241</v>
      </c>
      <c r="B11" s="186">
        <f>예산총괄표!J5+예산총괄표!J6+예산총괄표!J7</f>
        <v>597916163.0072</v>
      </c>
    </row>
    <row r="12" spans="1:17" ht="30" customHeight="1">
      <c r="A12" s="187" t="s">
        <v>242</v>
      </c>
      <c r="B12" s="188">
        <f>예산총괄표!J8</f>
        <v>9600000</v>
      </c>
    </row>
    <row r="13" spans="1:17" ht="30" customHeight="1" thickBot="1">
      <c r="A13" s="189" t="s">
        <v>243</v>
      </c>
      <c r="B13" s="190">
        <f>예산총괄표!J9+예산총괄표!J10</f>
        <v>141282000</v>
      </c>
    </row>
    <row r="14" spans="1:17" ht="30" customHeight="1">
      <c r="A14" s="175" t="s">
        <v>365</v>
      </c>
    </row>
    <row r="15" spans="1:17" ht="30" customHeight="1">
      <c r="A15" s="191" t="s">
        <v>244</v>
      </c>
    </row>
    <row r="16" spans="1:17" ht="30" customHeight="1">
      <c r="A16" s="192" t="s">
        <v>245</v>
      </c>
    </row>
    <row r="17" spans="1:1" ht="30" customHeight="1">
      <c r="A17" s="191" t="s">
        <v>246</v>
      </c>
    </row>
    <row r="18" spans="1:1" ht="30" customHeight="1">
      <c r="A18" s="192" t="s">
        <v>247</v>
      </c>
    </row>
    <row r="19" spans="1:1" ht="30" customHeight="1">
      <c r="A19" s="192" t="s">
        <v>248</v>
      </c>
    </row>
    <row r="20" spans="1:1" ht="30" customHeight="1">
      <c r="A20" s="191" t="s">
        <v>249</v>
      </c>
    </row>
    <row r="21" spans="1:1" ht="30" customHeight="1">
      <c r="A21" s="193" t="s">
        <v>250</v>
      </c>
    </row>
    <row r="22" spans="1:1">
      <c r="A22" s="194"/>
    </row>
    <row r="23" spans="1:1">
      <c r="A23" s="194"/>
    </row>
  </sheetData>
  <mergeCells count="1">
    <mergeCell ref="A1:C1"/>
  </mergeCells>
  <phoneticPr fontId="3" type="noConversion"/>
  <pageMargins left="0.62992125984251968" right="0.23622047244094491" top="0.74803149606299213" bottom="0.74803149606299213" header="0.31496062992125984" footer="0.31496062992125984"/>
  <pageSetup paperSize="9" orientation="portrait" verticalDpi="0" r:id="rId1"/>
  <ignoredErrors>
    <ignoredError sqref="B9 B11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L26"/>
  <sheetViews>
    <sheetView zoomScale="85" zoomScaleNormal="85" workbookViewId="0">
      <selection activeCell="J20" sqref="J20"/>
    </sheetView>
  </sheetViews>
  <sheetFormatPr defaultRowHeight="16.5"/>
  <cols>
    <col min="1" max="1" width="5.25" style="196" bestFit="1" customWidth="1"/>
    <col min="2" max="2" width="34" style="196" bestFit="1" customWidth="1"/>
    <col min="3" max="3" width="36.875" style="196" bestFit="1" customWidth="1"/>
    <col min="4" max="6" width="16.625" style="196" customWidth="1"/>
    <col min="7" max="7" width="33.75" style="196" customWidth="1"/>
    <col min="8" max="8" width="41.75" style="196" bestFit="1" customWidth="1"/>
    <col min="9" max="11" width="16.625" style="196" customWidth="1"/>
    <col min="12" max="16384" width="9" style="196"/>
  </cols>
  <sheetData>
    <row r="1" spans="1:12" ht="33.75" customHeight="1">
      <c r="A1" s="331" t="s">
        <v>410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195"/>
    </row>
    <row r="2" spans="1:12" s="198" customFormat="1" ht="17.25" thickBot="1">
      <c r="A2" s="135"/>
      <c r="B2" s="135" t="s">
        <v>426</v>
      </c>
      <c r="C2" s="136"/>
      <c r="D2" s="136"/>
      <c r="E2" s="197"/>
      <c r="F2" s="136"/>
      <c r="G2" s="197"/>
      <c r="I2" s="342" t="s">
        <v>368</v>
      </c>
      <c r="J2" s="342"/>
      <c r="K2" s="137" t="s">
        <v>395</v>
      </c>
    </row>
    <row r="3" spans="1:12" ht="24.95" customHeight="1">
      <c r="A3" s="340" t="s">
        <v>49</v>
      </c>
      <c r="B3" s="334" t="s">
        <v>413</v>
      </c>
      <c r="C3" s="335"/>
      <c r="D3" s="335"/>
      <c r="E3" s="335"/>
      <c r="F3" s="336"/>
      <c r="G3" s="337" t="s">
        <v>412</v>
      </c>
      <c r="H3" s="337"/>
      <c r="I3" s="337"/>
      <c r="J3" s="337"/>
      <c r="K3" s="338"/>
    </row>
    <row r="4" spans="1:12" ht="24.95" customHeight="1" thickBot="1">
      <c r="A4" s="341"/>
      <c r="B4" s="199" t="s">
        <v>1</v>
      </c>
      <c r="C4" s="199" t="s">
        <v>2</v>
      </c>
      <c r="D4" s="199" t="s">
        <v>50</v>
      </c>
      <c r="E4" s="199" t="s">
        <v>51</v>
      </c>
      <c r="F4" s="200" t="s">
        <v>52</v>
      </c>
      <c r="G4" s="201" t="s">
        <v>1</v>
      </c>
      <c r="H4" s="202" t="s">
        <v>2</v>
      </c>
      <c r="I4" s="202" t="s">
        <v>50</v>
      </c>
      <c r="J4" s="202" t="s">
        <v>51</v>
      </c>
      <c r="K4" s="203" t="s">
        <v>52</v>
      </c>
    </row>
    <row r="5" spans="1:12" ht="24.95" customHeight="1" thickTop="1">
      <c r="A5" s="204" t="s">
        <v>53</v>
      </c>
      <c r="B5" s="205" t="s">
        <v>156</v>
      </c>
      <c r="C5" s="205" t="s">
        <v>157</v>
      </c>
      <c r="D5" s="206">
        <f>세입명세서!D6</f>
        <v>182133600</v>
      </c>
      <c r="E5" s="206">
        <f>세입명세서!E5</f>
        <v>228378540</v>
      </c>
      <c r="F5" s="207">
        <f>세입명세서!F5</f>
        <v>46244940</v>
      </c>
      <c r="G5" s="208" t="s">
        <v>148</v>
      </c>
      <c r="H5" s="209" t="s">
        <v>64</v>
      </c>
      <c r="I5" s="210">
        <f>세출명세서!D6</f>
        <v>539468660</v>
      </c>
      <c r="J5" s="210">
        <f>세출명세서!E6</f>
        <v>543676163.0072</v>
      </c>
      <c r="K5" s="211">
        <f>세출명세서!F6</f>
        <v>4207503.0072000027</v>
      </c>
    </row>
    <row r="6" spans="1:12" ht="24.95" customHeight="1">
      <c r="A6" s="212" t="s">
        <v>54</v>
      </c>
      <c r="B6" s="213" t="s">
        <v>125</v>
      </c>
      <c r="C6" s="213" t="s">
        <v>126</v>
      </c>
      <c r="D6" s="214">
        <f>세입명세서!E15</f>
        <v>0</v>
      </c>
      <c r="E6" s="214">
        <f>세입명세서!E14</f>
        <v>0</v>
      </c>
      <c r="F6" s="215">
        <f>세입명세서!F14</f>
        <v>0</v>
      </c>
      <c r="G6" s="216"/>
      <c r="H6" s="217" t="s">
        <v>149</v>
      </c>
      <c r="I6" s="218">
        <f>세출명세서!D23</f>
        <v>720000</v>
      </c>
      <c r="J6" s="218">
        <f>세출명세서!E23</f>
        <v>1440000</v>
      </c>
      <c r="K6" s="219">
        <f>세출명세서!F23</f>
        <v>720000</v>
      </c>
    </row>
    <row r="7" spans="1:12" ht="24.95" customHeight="1">
      <c r="A7" s="212" t="s">
        <v>55</v>
      </c>
      <c r="B7" s="220" t="s">
        <v>127</v>
      </c>
      <c r="C7" s="220" t="s">
        <v>128</v>
      </c>
      <c r="D7" s="214">
        <f>세입명세서!D18</f>
        <v>0</v>
      </c>
      <c r="E7" s="214">
        <f>세입명세서!E17</f>
        <v>0</v>
      </c>
      <c r="F7" s="215">
        <f>세입명세서!F17</f>
        <v>0</v>
      </c>
      <c r="G7" s="216"/>
      <c r="H7" s="217" t="s">
        <v>150</v>
      </c>
      <c r="I7" s="218">
        <f>세출명세서!D27</f>
        <v>40320000</v>
      </c>
      <c r="J7" s="218">
        <f>세출명세서!E27</f>
        <v>52800000</v>
      </c>
      <c r="K7" s="219">
        <f>세출명세서!F27</f>
        <v>12480000</v>
      </c>
    </row>
    <row r="8" spans="1:12" ht="24.95" customHeight="1">
      <c r="A8" s="212" t="s">
        <v>56</v>
      </c>
      <c r="B8" s="220" t="s">
        <v>129</v>
      </c>
      <c r="C8" s="220" t="s">
        <v>130</v>
      </c>
      <c r="D8" s="214">
        <f>세입명세서!D21</f>
        <v>15300000</v>
      </c>
      <c r="E8" s="214">
        <f>세입명세서!E20</f>
        <v>12912000</v>
      </c>
      <c r="F8" s="215">
        <f>세입명세서!F20</f>
        <v>-2388000</v>
      </c>
      <c r="G8" s="216" t="s">
        <v>74</v>
      </c>
      <c r="H8" s="217" t="s">
        <v>76</v>
      </c>
      <c r="I8" s="218">
        <f>세출명세서!D41</f>
        <v>24000000</v>
      </c>
      <c r="J8" s="218">
        <f>세출명세서!E41</f>
        <v>9600000</v>
      </c>
      <c r="K8" s="219">
        <f>세출명세서!F41</f>
        <v>-14400000</v>
      </c>
    </row>
    <row r="9" spans="1:12" ht="24.95" customHeight="1">
      <c r="A9" s="212" t="s">
        <v>57</v>
      </c>
      <c r="B9" s="220" t="s">
        <v>131</v>
      </c>
      <c r="C9" s="220" t="s">
        <v>132</v>
      </c>
      <c r="D9" s="214">
        <f>세입명세서!D24</f>
        <v>0</v>
      </c>
      <c r="E9" s="214">
        <f>세입명세서!E23</f>
        <v>0</v>
      </c>
      <c r="F9" s="215">
        <f>세입명세서!F23</f>
        <v>0</v>
      </c>
      <c r="G9" s="216" t="s">
        <v>81</v>
      </c>
      <c r="H9" s="217" t="s">
        <v>82</v>
      </c>
      <c r="I9" s="218">
        <f>세출명세서!D46</f>
        <v>105516000</v>
      </c>
      <c r="J9" s="218">
        <f>세출명세서!E46</f>
        <v>138882000</v>
      </c>
      <c r="K9" s="219">
        <f>세출명세서!F46</f>
        <v>33366000</v>
      </c>
    </row>
    <row r="10" spans="1:12" ht="24.95" customHeight="1">
      <c r="A10" s="212" t="s">
        <v>58</v>
      </c>
      <c r="B10" s="220" t="s">
        <v>133</v>
      </c>
      <c r="C10" s="220" t="s">
        <v>134</v>
      </c>
      <c r="D10" s="214">
        <f>세입명세서!D28</f>
        <v>580262496</v>
      </c>
      <c r="E10" s="214">
        <f>세입명세서!E27</f>
        <v>589189572</v>
      </c>
      <c r="F10" s="215">
        <f>세입명세서!F27</f>
        <v>8927076</v>
      </c>
      <c r="G10" s="216"/>
      <c r="H10" s="217" t="s">
        <v>235</v>
      </c>
      <c r="I10" s="218">
        <f>세출명세서!D51</f>
        <v>2400000</v>
      </c>
      <c r="J10" s="218">
        <f>세출명세서!E51</f>
        <v>2400000</v>
      </c>
      <c r="K10" s="219">
        <f>세출명세서!F51</f>
        <v>0</v>
      </c>
    </row>
    <row r="11" spans="1:12" ht="24.95" customHeight="1">
      <c r="A11" s="212" t="s">
        <v>59</v>
      </c>
      <c r="B11" s="220" t="s">
        <v>135</v>
      </c>
      <c r="C11" s="220" t="s">
        <v>136</v>
      </c>
      <c r="D11" s="214">
        <f>세입명세서!D38</f>
        <v>46700000</v>
      </c>
      <c r="E11" s="214">
        <f>세입명세서!E37</f>
        <v>0</v>
      </c>
      <c r="F11" s="215">
        <f>세입명세서!F37</f>
        <v>-46700000</v>
      </c>
      <c r="G11" s="216" t="s">
        <v>88</v>
      </c>
      <c r="H11" s="217" t="s">
        <v>89</v>
      </c>
      <c r="I11" s="218">
        <f>세출명세서!D53</f>
        <v>120000000</v>
      </c>
      <c r="J11" s="218">
        <f>세출명세서!E54</f>
        <v>180000000</v>
      </c>
      <c r="K11" s="219">
        <f>세출명세서!F54</f>
        <v>60000000</v>
      </c>
    </row>
    <row r="12" spans="1:12" ht="24.95" customHeight="1">
      <c r="A12" s="212" t="s">
        <v>60</v>
      </c>
      <c r="B12" s="220" t="s">
        <v>137</v>
      </c>
      <c r="C12" s="220" t="s">
        <v>138</v>
      </c>
      <c r="D12" s="214">
        <f>세입명세서!D42</f>
        <v>24000000</v>
      </c>
      <c r="E12" s="214">
        <f>세입명세서!E41</f>
        <v>0</v>
      </c>
      <c r="F12" s="215">
        <f>세입명세서!F41</f>
        <v>-24000000</v>
      </c>
      <c r="G12" s="216" t="s">
        <v>91</v>
      </c>
      <c r="H12" s="217" t="s">
        <v>92</v>
      </c>
      <c r="I12" s="218">
        <f>세출명세서!D58</f>
        <v>0</v>
      </c>
      <c r="J12" s="218">
        <f>세출명세서!E58</f>
        <v>0</v>
      </c>
      <c r="K12" s="219">
        <f>세출명세서!F58</f>
        <v>0</v>
      </c>
    </row>
    <row r="13" spans="1:12" ht="24.95" customHeight="1">
      <c r="A13" s="212" t="s">
        <v>61</v>
      </c>
      <c r="B13" s="220" t="s">
        <v>139</v>
      </c>
      <c r="C13" s="220" t="s">
        <v>140</v>
      </c>
      <c r="D13" s="214">
        <f>세입명세서!D48</f>
        <v>4283904</v>
      </c>
      <c r="E13" s="214">
        <f>세입명세서!E47</f>
        <v>20000000</v>
      </c>
      <c r="F13" s="215">
        <f>세입명세서!F47</f>
        <v>15716096</v>
      </c>
      <c r="G13" s="216" t="s">
        <v>94</v>
      </c>
      <c r="H13" s="217" t="s">
        <v>95</v>
      </c>
      <c r="I13" s="218">
        <f>세출명세서!D61</f>
        <v>60000000</v>
      </c>
      <c r="J13" s="218">
        <f>세출명세서!E61</f>
        <v>0</v>
      </c>
      <c r="K13" s="219">
        <f>세출명세서!F61</f>
        <v>-60000000</v>
      </c>
    </row>
    <row r="14" spans="1:12" ht="24.95" customHeight="1">
      <c r="A14" s="212" t="s">
        <v>146</v>
      </c>
      <c r="B14" s="220" t="s">
        <v>142</v>
      </c>
      <c r="C14" s="220" t="s">
        <v>143</v>
      </c>
      <c r="D14" s="214">
        <f>세입명세서!D53</f>
        <v>40320000</v>
      </c>
      <c r="E14" s="214">
        <f>세입명세서!E52</f>
        <v>78318051.007200003</v>
      </c>
      <c r="F14" s="215">
        <f>세입명세서!F52</f>
        <v>37998051.007200003</v>
      </c>
      <c r="G14" s="216" t="s">
        <v>99</v>
      </c>
      <c r="H14" s="217" t="s">
        <v>101</v>
      </c>
      <c r="I14" s="218">
        <f>세출명세서!D65</f>
        <v>575340</v>
      </c>
      <c r="J14" s="218">
        <f>세출명세서!E65</f>
        <v>0</v>
      </c>
      <c r="K14" s="219">
        <f>세출명세서!F65</f>
        <v>-575340</v>
      </c>
    </row>
    <row r="15" spans="1:12" ht="24.95" customHeight="1">
      <c r="A15" s="212" t="s">
        <v>147</v>
      </c>
      <c r="B15" s="220" t="s">
        <v>144</v>
      </c>
      <c r="C15" s="220" t="s">
        <v>145</v>
      </c>
      <c r="D15" s="214">
        <f>세입명세서!D60</f>
        <v>0</v>
      </c>
      <c r="E15" s="214">
        <f>세입명세서!E59</f>
        <v>0</v>
      </c>
      <c r="F15" s="215">
        <f>세입명세서!F59</f>
        <v>0</v>
      </c>
      <c r="G15" s="216" t="s">
        <v>117</v>
      </c>
      <c r="H15" s="217" t="s">
        <v>121</v>
      </c>
      <c r="I15" s="218">
        <f>세출명세서!D68</f>
        <v>0</v>
      </c>
      <c r="J15" s="218">
        <f>세출명세서!E68</f>
        <v>0</v>
      </c>
      <c r="K15" s="219">
        <f>세출명세서!F68</f>
        <v>0</v>
      </c>
    </row>
    <row r="16" spans="1:12" ht="24.95" customHeight="1">
      <c r="A16" s="212" t="s">
        <v>151</v>
      </c>
      <c r="B16" s="220"/>
      <c r="C16" s="220"/>
      <c r="D16" s="214"/>
      <c r="E16" s="214"/>
      <c r="F16" s="215"/>
      <c r="G16" s="216" t="s">
        <v>123</v>
      </c>
      <c r="H16" s="217" t="s">
        <v>106</v>
      </c>
      <c r="I16" s="218">
        <f>세출명세서!D72</f>
        <v>0</v>
      </c>
      <c r="J16" s="218">
        <f>세출명세서!E72</f>
        <v>0</v>
      </c>
      <c r="K16" s="219">
        <f>세출명세서!F72</f>
        <v>0</v>
      </c>
    </row>
    <row r="17" spans="1:11" ht="24.95" customHeight="1" thickBot="1">
      <c r="A17" s="221" t="s">
        <v>152</v>
      </c>
      <c r="B17" s="222"/>
      <c r="C17" s="222"/>
      <c r="D17" s="223"/>
      <c r="E17" s="223"/>
      <c r="F17" s="224"/>
      <c r="G17" s="225" t="s">
        <v>110</v>
      </c>
      <c r="H17" s="226" t="s">
        <v>112</v>
      </c>
      <c r="I17" s="227">
        <f>세출명세서!D76</f>
        <v>0</v>
      </c>
      <c r="J17" s="227">
        <f>세출명세서!E76</f>
        <v>0</v>
      </c>
      <c r="K17" s="228">
        <f>세출명세서!F76</f>
        <v>0</v>
      </c>
    </row>
    <row r="18" spans="1:11" ht="24.95" customHeight="1" thickBot="1">
      <c r="A18" s="229"/>
      <c r="B18" s="339" t="s">
        <v>62</v>
      </c>
      <c r="C18" s="333"/>
      <c r="D18" s="230">
        <f>SUM(D5:D17)</f>
        <v>893000000</v>
      </c>
      <c r="E18" s="230">
        <f>SUM(E5:E17)</f>
        <v>928798163.0072</v>
      </c>
      <c r="F18" s="231">
        <f>SUM(F5:F17)</f>
        <v>35798163.007200003</v>
      </c>
      <c r="G18" s="332" t="s">
        <v>63</v>
      </c>
      <c r="H18" s="333"/>
      <c r="I18" s="232">
        <f>SUM(I5:I17)</f>
        <v>893000000</v>
      </c>
      <c r="J18" s="232">
        <f t="shared" ref="J18:K18" si="0">SUM(J5:J17)</f>
        <v>928798163.0072</v>
      </c>
      <c r="K18" s="233">
        <f t="shared" si="0"/>
        <v>35798163.007200003</v>
      </c>
    </row>
    <row r="20" spans="1:11">
      <c r="J20" s="234">
        <f>E18-J18</f>
        <v>0</v>
      </c>
    </row>
    <row r="21" spans="1:11">
      <c r="G21" s="234"/>
    </row>
    <row r="23" spans="1:11">
      <c r="J23" s="234"/>
    </row>
    <row r="25" spans="1:11">
      <c r="J25" s="234"/>
    </row>
    <row r="26" spans="1:11">
      <c r="J26" s="234"/>
    </row>
  </sheetData>
  <mergeCells count="7">
    <mergeCell ref="A1:K1"/>
    <mergeCell ref="G18:H18"/>
    <mergeCell ref="B3:F3"/>
    <mergeCell ref="G3:K3"/>
    <mergeCell ref="B18:C18"/>
    <mergeCell ref="A3:A4"/>
    <mergeCell ref="I2:J2"/>
  </mergeCells>
  <phoneticPr fontId="3" type="noConversion"/>
  <pageMargins left="0.25" right="0.25" top="0.75" bottom="0.75" header="0.3" footer="0.3"/>
  <pageSetup paperSize="9" scale="54" fitToHeight="0" orientation="landscape" verticalDpi="0" r:id="rId1"/>
  <ignoredErrors>
    <ignoredError sqref="E10:F10 J15:K15 J18:K18 J5:K5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S67"/>
  <sheetViews>
    <sheetView tabSelected="1" zoomScaleNormal="100" workbookViewId="0">
      <pane ySplit="4" topLeftCell="A8" activePane="bottomLeft" state="frozen"/>
      <selection pane="bottomLeft" activeCell="G54" sqref="G54"/>
    </sheetView>
  </sheetViews>
  <sheetFormatPr defaultRowHeight="16.5"/>
  <cols>
    <col min="1" max="2" width="3.625" style="1" bestFit="1" customWidth="1"/>
    <col min="3" max="3" width="28.625" style="1" customWidth="1"/>
    <col min="4" max="4" width="15.375" style="15" bestFit="1" customWidth="1"/>
    <col min="5" max="6" width="16.625" style="15" bestFit="1" customWidth="1"/>
    <col min="7" max="7" width="19.875" style="16" bestFit="1" customWidth="1"/>
    <col min="8" max="8" width="15.375" style="16" customWidth="1"/>
    <col min="9" max="9" width="2.875" style="4" customWidth="1"/>
    <col min="10" max="10" width="5.625" style="14" bestFit="1" customWidth="1"/>
    <col min="11" max="12" width="2.875" style="4" customWidth="1"/>
    <col min="13" max="13" width="6.625" style="16" bestFit="1" customWidth="1"/>
    <col min="14" max="15" width="2.875" style="4" customWidth="1"/>
    <col min="16" max="16" width="15.375" style="13" bestFit="1" customWidth="1"/>
    <col min="17" max="17" width="7.75" style="1" bestFit="1" customWidth="1"/>
    <col min="18" max="18" width="3.75" style="1" bestFit="1" customWidth="1"/>
    <col min="19" max="19" width="2.375" style="1" bestFit="1" customWidth="1"/>
    <col min="20" max="20" width="15.625" style="1" bestFit="1" customWidth="1"/>
    <col min="21" max="21" width="12.125" style="1" customWidth="1"/>
    <col min="22" max="22" width="12.125" style="1" bestFit="1" customWidth="1"/>
    <col min="23" max="25" width="15.375" style="1" bestFit="1" customWidth="1"/>
    <col min="26" max="26" width="12.125" style="1" bestFit="1" customWidth="1"/>
    <col min="27" max="16384" width="9" style="1"/>
  </cols>
  <sheetData>
    <row r="1" spans="1:17" ht="39.950000000000003" customHeight="1">
      <c r="A1" s="343" t="s">
        <v>414</v>
      </c>
      <c r="B1" s="343"/>
      <c r="C1" s="343"/>
      <c r="D1" s="343"/>
      <c r="E1" s="343"/>
      <c r="F1" s="343"/>
      <c r="G1" s="343"/>
      <c r="H1" s="343"/>
      <c r="I1" s="343"/>
      <c r="J1" s="344"/>
      <c r="K1" s="344"/>
      <c r="L1" s="344"/>
      <c r="M1" s="344"/>
      <c r="N1" s="344"/>
      <c r="O1" s="344"/>
      <c r="P1" s="344"/>
      <c r="Q1" s="344"/>
    </row>
    <row r="2" spans="1:17" ht="18" thickBot="1">
      <c r="A2" s="356" t="str">
        <f>예산총괄표!B2</f>
        <v xml:space="preserve">    고양사랑방요양원</v>
      </c>
      <c r="B2" s="356"/>
      <c r="C2" s="356"/>
      <c r="D2" s="23"/>
      <c r="E2" s="23"/>
      <c r="F2" s="23"/>
      <c r="G2" s="24"/>
      <c r="H2" s="24"/>
      <c r="I2" s="25"/>
      <c r="J2" s="23"/>
      <c r="K2" s="360" t="str">
        <f>예산총괄표!I2</f>
        <v xml:space="preserve">회계연도: 2022년 </v>
      </c>
      <c r="L2" s="360"/>
      <c r="M2" s="360"/>
      <c r="N2" s="360"/>
      <c r="O2" s="360"/>
      <c r="P2" s="360"/>
      <c r="Q2" s="22" t="s">
        <v>0</v>
      </c>
    </row>
    <row r="3" spans="1:17" ht="20.100000000000001" customHeight="1">
      <c r="A3" s="345" t="s">
        <v>10</v>
      </c>
      <c r="B3" s="346"/>
      <c r="C3" s="346"/>
      <c r="D3" s="347" t="s">
        <v>35</v>
      </c>
      <c r="E3" s="347" t="s">
        <v>416</v>
      </c>
      <c r="F3" s="349" t="s">
        <v>421</v>
      </c>
      <c r="G3" s="353" t="s">
        <v>415</v>
      </c>
      <c r="H3" s="354"/>
      <c r="I3" s="354"/>
      <c r="J3" s="354"/>
      <c r="K3" s="354"/>
      <c r="L3" s="354"/>
      <c r="M3" s="354"/>
      <c r="N3" s="354"/>
      <c r="O3" s="354"/>
      <c r="P3" s="355"/>
      <c r="Q3" s="351" t="s">
        <v>420</v>
      </c>
    </row>
    <row r="4" spans="1:17" ht="20.100000000000001" customHeight="1" thickBot="1">
      <c r="A4" s="9" t="s">
        <v>1</v>
      </c>
      <c r="B4" s="10" t="s">
        <v>2</v>
      </c>
      <c r="C4" s="10" t="s">
        <v>37</v>
      </c>
      <c r="D4" s="348"/>
      <c r="E4" s="348"/>
      <c r="F4" s="350"/>
      <c r="G4" s="143" t="s">
        <v>417</v>
      </c>
      <c r="H4" s="144" t="s">
        <v>418</v>
      </c>
      <c r="I4" s="357" t="s">
        <v>419</v>
      </c>
      <c r="J4" s="358"/>
      <c r="K4" s="358"/>
      <c r="L4" s="358"/>
      <c r="M4" s="358"/>
      <c r="N4" s="358"/>
      <c r="O4" s="359"/>
      <c r="P4" s="145" t="s">
        <v>182</v>
      </c>
      <c r="Q4" s="352"/>
    </row>
    <row r="5" spans="1:17" ht="20.100000000000001" customHeight="1" thickTop="1">
      <c r="A5" s="365" t="s">
        <v>156</v>
      </c>
      <c r="B5" s="366"/>
      <c r="C5" s="367"/>
      <c r="D5" s="34">
        <f>D6</f>
        <v>182133600</v>
      </c>
      <c r="E5" s="34">
        <f>E6</f>
        <v>228378540</v>
      </c>
      <c r="F5" s="35">
        <f>E5-D5</f>
        <v>46244940</v>
      </c>
      <c r="G5" s="405"/>
      <c r="H5" s="406"/>
      <c r="I5" s="406"/>
      <c r="J5" s="406"/>
      <c r="K5" s="406"/>
      <c r="L5" s="406"/>
      <c r="M5" s="406"/>
      <c r="N5" s="406"/>
      <c r="O5" s="406"/>
      <c r="P5" s="407"/>
      <c r="Q5" s="20"/>
    </row>
    <row r="6" spans="1:17" ht="20.100000000000001" customHeight="1">
      <c r="A6" s="373"/>
      <c r="B6" s="361" t="s">
        <v>157</v>
      </c>
      <c r="C6" s="362"/>
      <c r="D6" s="36">
        <f>SUM(D7:D13)</f>
        <v>182133600</v>
      </c>
      <c r="E6" s="36">
        <f>SUM(E7:E13)</f>
        <v>228378540</v>
      </c>
      <c r="F6" s="37">
        <f>E6-D6</f>
        <v>46244940</v>
      </c>
      <c r="G6" s="402"/>
      <c r="H6" s="403"/>
      <c r="I6" s="403"/>
      <c r="J6" s="403"/>
      <c r="K6" s="403"/>
      <c r="L6" s="403"/>
      <c r="M6" s="403"/>
      <c r="N6" s="403"/>
      <c r="O6" s="403"/>
      <c r="P6" s="404"/>
      <c r="Q6" s="6"/>
    </row>
    <row r="7" spans="1:17" ht="20.100000000000001" customHeight="1">
      <c r="A7" s="373"/>
      <c r="B7" s="363"/>
      <c r="C7" s="408" t="s">
        <v>11</v>
      </c>
      <c r="D7" s="410">
        <v>111117600</v>
      </c>
      <c r="E7" s="396">
        <f>SUM(P7:P9)</f>
        <v>119568540</v>
      </c>
      <c r="F7" s="399">
        <f>E7-D7</f>
        <v>8450940</v>
      </c>
      <c r="G7" s="79" t="s">
        <v>285</v>
      </c>
      <c r="H7" s="41">
        <f>'2022년수가'!E3</f>
        <v>456585</v>
      </c>
      <c r="I7" s="42" t="s">
        <v>32</v>
      </c>
      <c r="J7" s="254">
        <v>1</v>
      </c>
      <c r="K7" s="42" t="s">
        <v>41</v>
      </c>
      <c r="L7" s="42" t="s">
        <v>32</v>
      </c>
      <c r="M7" s="41">
        <v>12</v>
      </c>
      <c r="N7" s="42" t="s">
        <v>164</v>
      </c>
      <c r="O7" s="42" t="s">
        <v>33</v>
      </c>
      <c r="P7" s="44">
        <f t="shared" ref="P7:P9" si="0">H7*J7*M7</f>
        <v>5479020</v>
      </c>
      <c r="Q7" s="30"/>
    </row>
    <row r="8" spans="1:17" ht="20.100000000000001" customHeight="1">
      <c r="A8" s="373"/>
      <c r="B8" s="363"/>
      <c r="C8" s="409"/>
      <c r="D8" s="411"/>
      <c r="E8" s="397"/>
      <c r="F8" s="400"/>
      <c r="G8" s="80" t="s">
        <v>286</v>
      </c>
      <c r="H8" s="45">
        <f>'2022년수가'!E4</f>
        <v>423645</v>
      </c>
      <c r="I8" s="46" t="s">
        <v>32</v>
      </c>
      <c r="J8" s="255">
        <f>J30</f>
        <v>4</v>
      </c>
      <c r="K8" s="46" t="s">
        <v>41</v>
      </c>
      <c r="L8" s="46" t="s">
        <v>32</v>
      </c>
      <c r="M8" s="45">
        <f t="shared" ref="M8:M13" si="1">$M$7</f>
        <v>12</v>
      </c>
      <c r="N8" s="46" t="s">
        <v>164</v>
      </c>
      <c r="O8" s="46" t="s">
        <v>33</v>
      </c>
      <c r="P8" s="48">
        <f t="shared" si="0"/>
        <v>20334960</v>
      </c>
      <c r="Q8" s="31"/>
    </row>
    <row r="9" spans="1:17" ht="20.100000000000001" customHeight="1">
      <c r="A9" s="373"/>
      <c r="B9" s="363"/>
      <c r="C9" s="409"/>
      <c r="D9" s="411"/>
      <c r="E9" s="397"/>
      <c r="F9" s="400"/>
      <c r="G9" s="80" t="s">
        <v>287</v>
      </c>
      <c r="H9" s="45">
        <f>'2022년수가'!E5</f>
        <v>390644</v>
      </c>
      <c r="I9" s="46" t="s">
        <v>32</v>
      </c>
      <c r="J9" s="255">
        <f>J31</f>
        <v>20</v>
      </c>
      <c r="K9" s="46" t="s">
        <v>41</v>
      </c>
      <c r="L9" s="46" t="s">
        <v>32</v>
      </c>
      <c r="M9" s="45">
        <f t="shared" si="1"/>
        <v>12</v>
      </c>
      <c r="N9" s="46" t="s">
        <v>164</v>
      </c>
      <c r="O9" s="46" t="s">
        <v>33</v>
      </c>
      <c r="P9" s="48">
        <f t="shared" si="0"/>
        <v>93754560</v>
      </c>
      <c r="Q9" s="31"/>
    </row>
    <row r="10" spans="1:17" ht="20.100000000000001" customHeight="1">
      <c r="A10" s="374"/>
      <c r="B10" s="368"/>
      <c r="C10" s="27" t="s">
        <v>159</v>
      </c>
      <c r="D10" s="105">
        <v>57096000</v>
      </c>
      <c r="E10" s="36">
        <f>P10</f>
        <v>89670000</v>
      </c>
      <c r="F10" s="37">
        <f>E10-D10</f>
        <v>32574000</v>
      </c>
      <c r="G10" s="70"/>
      <c r="H10" s="106">
        <f>'2022년수가'!L3</f>
        <v>298900</v>
      </c>
      <c r="I10" s="244" t="s">
        <v>32</v>
      </c>
      <c r="J10" s="107">
        <f>SUM(J7:J9)</f>
        <v>25</v>
      </c>
      <c r="K10" s="244" t="s">
        <v>41</v>
      </c>
      <c r="L10" s="244" t="s">
        <v>32</v>
      </c>
      <c r="M10" s="38">
        <f t="shared" si="1"/>
        <v>12</v>
      </c>
      <c r="N10" s="244" t="s">
        <v>164</v>
      </c>
      <c r="O10" s="244" t="s">
        <v>33</v>
      </c>
      <c r="P10" s="40">
        <f>H10*J10*M10</f>
        <v>89670000</v>
      </c>
      <c r="Q10" s="7"/>
    </row>
    <row r="11" spans="1:17" ht="20.100000000000001" customHeight="1">
      <c r="A11" s="374"/>
      <c r="B11" s="368"/>
      <c r="C11" s="27" t="s">
        <v>160</v>
      </c>
      <c r="D11" s="105">
        <v>0</v>
      </c>
      <c r="E11" s="36">
        <f>P11</f>
        <v>0</v>
      </c>
      <c r="F11" s="37">
        <f t="shared" ref="F11:F12" si="2">E11-D11</f>
        <v>0</v>
      </c>
      <c r="G11" s="69"/>
      <c r="H11" s="106">
        <v>200000</v>
      </c>
      <c r="I11" s="244" t="s">
        <v>32</v>
      </c>
      <c r="J11" s="107">
        <v>0</v>
      </c>
      <c r="K11" s="244" t="s">
        <v>41</v>
      </c>
      <c r="L11" s="244" t="s">
        <v>32</v>
      </c>
      <c r="M11" s="38">
        <f t="shared" si="1"/>
        <v>12</v>
      </c>
      <c r="N11" s="244" t="s">
        <v>164</v>
      </c>
      <c r="O11" s="244" t="s">
        <v>33</v>
      </c>
      <c r="P11" s="40">
        <f>H11*J11*M11</f>
        <v>0</v>
      </c>
      <c r="Q11" s="17"/>
    </row>
    <row r="12" spans="1:17" ht="20.100000000000001" customHeight="1">
      <c r="A12" s="374"/>
      <c r="B12" s="368"/>
      <c r="C12" s="27" t="s">
        <v>161</v>
      </c>
      <c r="D12" s="105">
        <v>0</v>
      </c>
      <c r="E12" s="36">
        <f>P12</f>
        <v>0</v>
      </c>
      <c r="F12" s="37">
        <f t="shared" si="2"/>
        <v>0</v>
      </c>
      <c r="G12" s="69"/>
      <c r="H12" s="106">
        <v>1000</v>
      </c>
      <c r="I12" s="244" t="s">
        <v>32</v>
      </c>
      <c r="J12" s="107">
        <v>0</v>
      </c>
      <c r="K12" s="244" t="s">
        <v>41</v>
      </c>
      <c r="L12" s="260" t="s">
        <v>32</v>
      </c>
      <c r="M12" s="38">
        <f t="shared" si="1"/>
        <v>12</v>
      </c>
      <c r="N12" s="244" t="s">
        <v>164</v>
      </c>
      <c r="O12" s="244" t="s">
        <v>33</v>
      </c>
      <c r="P12" s="40">
        <f>H12*J12*M12</f>
        <v>0</v>
      </c>
      <c r="Q12" s="17"/>
    </row>
    <row r="13" spans="1:17" ht="20.100000000000001" customHeight="1" thickBot="1">
      <c r="A13" s="374"/>
      <c r="B13" s="368"/>
      <c r="C13" s="8" t="s">
        <v>12</v>
      </c>
      <c r="D13" s="108">
        <v>13920000</v>
      </c>
      <c r="E13" s="53">
        <f>P13</f>
        <v>19140000</v>
      </c>
      <c r="F13" s="54">
        <f>E13-D13</f>
        <v>5220000</v>
      </c>
      <c r="G13" s="71"/>
      <c r="H13" s="106">
        <v>55000</v>
      </c>
      <c r="I13" s="244" t="s">
        <v>32</v>
      </c>
      <c r="J13" s="107">
        <f>J10+J22</f>
        <v>29</v>
      </c>
      <c r="K13" s="260" t="s">
        <v>271</v>
      </c>
      <c r="L13" s="260" t="s">
        <v>32</v>
      </c>
      <c r="M13" s="38">
        <f t="shared" si="1"/>
        <v>12</v>
      </c>
      <c r="N13" s="244" t="s">
        <v>164</v>
      </c>
      <c r="O13" s="244" t="s">
        <v>33</v>
      </c>
      <c r="P13" s="40">
        <f>H13*J13*M13</f>
        <v>19140000</v>
      </c>
      <c r="Q13" s="17"/>
    </row>
    <row r="14" spans="1:17" ht="20.100000000000001" customHeight="1">
      <c r="A14" s="377" t="s">
        <v>125</v>
      </c>
      <c r="B14" s="378"/>
      <c r="C14" s="379"/>
      <c r="D14" s="55">
        <f>D15</f>
        <v>0</v>
      </c>
      <c r="E14" s="55">
        <f>E15</f>
        <v>0</v>
      </c>
      <c r="F14" s="56">
        <f t="shared" ref="F14:F45" si="3">E14-D14</f>
        <v>0</v>
      </c>
      <c r="G14" s="412"/>
      <c r="H14" s="413"/>
      <c r="I14" s="413"/>
      <c r="J14" s="413"/>
      <c r="K14" s="413"/>
      <c r="L14" s="413"/>
      <c r="M14" s="413"/>
      <c r="N14" s="413"/>
      <c r="O14" s="413"/>
      <c r="P14" s="414"/>
      <c r="Q14" s="18"/>
    </row>
    <row r="15" spans="1:17" ht="20.100000000000001" customHeight="1">
      <c r="A15" s="391"/>
      <c r="B15" s="361" t="s">
        <v>126</v>
      </c>
      <c r="C15" s="362"/>
      <c r="D15" s="36">
        <f>D16</f>
        <v>0</v>
      </c>
      <c r="E15" s="36">
        <f>E16</f>
        <v>0</v>
      </c>
      <c r="F15" s="37">
        <f t="shared" si="3"/>
        <v>0</v>
      </c>
      <c r="G15" s="402"/>
      <c r="H15" s="403"/>
      <c r="I15" s="403"/>
      <c r="J15" s="403"/>
      <c r="K15" s="403"/>
      <c r="L15" s="403"/>
      <c r="M15" s="403"/>
      <c r="N15" s="403"/>
      <c r="O15" s="403"/>
      <c r="P15" s="404"/>
      <c r="Q15" s="7"/>
    </row>
    <row r="16" spans="1:17" ht="20.100000000000001" customHeight="1" thickBot="1">
      <c r="A16" s="392"/>
      <c r="B16" s="241"/>
      <c r="C16" s="8" t="s">
        <v>13</v>
      </c>
      <c r="D16" s="108"/>
      <c r="E16" s="53">
        <f>P16</f>
        <v>0</v>
      </c>
      <c r="F16" s="54">
        <f t="shared" si="3"/>
        <v>0</v>
      </c>
      <c r="G16" s="72"/>
      <c r="H16" s="256"/>
      <c r="I16" s="58" t="s">
        <v>42</v>
      </c>
      <c r="J16" s="127"/>
      <c r="K16" s="58"/>
      <c r="L16" s="58"/>
      <c r="M16" s="38">
        <f>$M$7</f>
        <v>12</v>
      </c>
      <c r="N16" s="58" t="s">
        <v>44</v>
      </c>
      <c r="O16" s="58" t="s">
        <v>43</v>
      </c>
      <c r="P16" s="60">
        <f>H16*M16</f>
        <v>0</v>
      </c>
      <c r="Q16" s="12"/>
    </row>
    <row r="17" spans="1:17" ht="20.100000000000001" customHeight="1">
      <c r="A17" s="377" t="s">
        <v>127</v>
      </c>
      <c r="B17" s="378"/>
      <c r="C17" s="379"/>
      <c r="D17" s="55">
        <f>D18</f>
        <v>0</v>
      </c>
      <c r="E17" s="55">
        <f>E18</f>
        <v>0</v>
      </c>
      <c r="F17" s="56">
        <f t="shared" si="3"/>
        <v>0</v>
      </c>
      <c r="G17" s="412"/>
      <c r="H17" s="413"/>
      <c r="I17" s="413"/>
      <c r="J17" s="413"/>
      <c r="K17" s="413"/>
      <c r="L17" s="413"/>
      <c r="M17" s="413"/>
      <c r="N17" s="413"/>
      <c r="O17" s="413"/>
      <c r="P17" s="414"/>
      <c r="Q17" s="18"/>
    </row>
    <row r="18" spans="1:17" ht="20.100000000000001" customHeight="1">
      <c r="A18" s="391"/>
      <c r="B18" s="361" t="s">
        <v>128</v>
      </c>
      <c r="C18" s="362"/>
      <c r="D18" s="36">
        <f>D19</f>
        <v>0</v>
      </c>
      <c r="E18" s="36">
        <f>E19</f>
        <v>0</v>
      </c>
      <c r="F18" s="37">
        <f t="shared" si="3"/>
        <v>0</v>
      </c>
      <c r="G18" s="402"/>
      <c r="H18" s="403"/>
      <c r="I18" s="403"/>
      <c r="J18" s="403"/>
      <c r="K18" s="403"/>
      <c r="L18" s="403"/>
      <c r="M18" s="403"/>
      <c r="N18" s="403"/>
      <c r="O18" s="403"/>
      <c r="P18" s="404"/>
      <c r="Q18" s="7"/>
    </row>
    <row r="19" spans="1:17" ht="20.100000000000001" customHeight="1" thickBot="1">
      <c r="A19" s="392"/>
      <c r="B19" s="11"/>
      <c r="C19" s="8" t="s">
        <v>14</v>
      </c>
      <c r="D19" s="108"/>
      <c r="E19" s="53">
        <f>P19</f>
        <v>0</v>
      </c>
      <c r="F19" s="54">
        <f t="shared" si="3"/>
        <v>0</v>
      </c>
      <c r="G19" s="72"/>
      <c r="H19" s="256"/>
      <c r="I19" s="58" t="s">
        <v>42</v>
      </c>
      <c r="J19" s="127"/>
      <c r="K19" s="58"/>
      <c r="L19" s="58"/>
      <c r="M19" s="38">
        <f>$M$7</f>
        <v>12</v>
      </c>
      <c r="N19" s="58" t="s">
        <v>44</v>
      </c>
      <c r="O19" s="58" t="s">
        <v>43</v>
      </c>
      <c r="P19" s="60">
        <f>H19*M19</f>
        <v>0</v>
      </c>
      <c r="Q19" s="12"/>
    </row>
    <row r="20" spans="1:17" ht="20.100000000000001" customHeight="1">
      <c r="A20" s="377" t="s">
        <v>129</v>
      </c>
      <c r="B20" s="378"/>
      <c r="C20" s="379"/>
      <c r="D20" s="55">
        <f>D21</f>
        <v>15300000</v>
      </c>
      <c r="E20" s="55">
        <f>E21</f>
        <v>12912000</v>
      </c>
      <c r="F20" s="56">
        <f t="shared" si="3"/>
        <v>-2388000</v>
      </c>
      <c r="G20" s="412"/>
      <c r="H20" s="413"/>
      <c r="I20" s="413"/>
      <c r="J20" s="413"/>
      <c r="K20" s="413"/>
      <c r="L20" s="413"/>
      <c r="M20" s="413"/>
      <c r="N20" s="413"/>
      <c r="O20" s="413"/>
      <c r="P20" s="414"/>
      <c r="Q20" s="18"/>
    </row>
    <row r="21" spans="1:17" ht="20.100000000000001" customHeight="1">
      <c r="A21" s="391"/>
      <c r="B21" s="361" t="s">
        <v>155</v>
      </c>
      <c r="C21" s="362"/>
      <c r="D21" s="36">
        <f>D22</f>
        <v>15300000</v>
      </c>
      <c r="E21" s="36">
        <f>SUM(E22:E22)</f>
        <v>12912000</v>
      </c>
      <c r="F21" s="37">
        <f>E21-D21</f>
        <v>-2388000</v>
      </c>
      <c r="G21" s="402"/>
      <c r="H21" s="403"/>
      <c r="I21" s="403"/>
      <c r="J21" s="403"/>
      <c r="K21" s="403"/>
      <c r="L21" s="403"/>
      <c r="M21" s="403"/>
      <c r="N21" s="403"/>
      <c r="O21" s="403"/>
      <c r="P21" s="404"/>
      <c r="Q21" s="7"/>
    </row>
    <row r="22" spans="1:17" ht="20.100000000000001" customHeight="1" thickBot="1">
      <c r="A22" s="391"/>
      <c r="B22" s="240"/>
      <c r="C22" s="5" t="s">
        <v>15</v>
      </c>
      <c r="D22" s="128">
        <v>15300000</v>
      </c>
      <c r="E22" s="36">
        <f>P22</f>
        <v>12912000</v>
      </c>
      <c r="F22" s="37">
        <f t="shared" si="3"/>
        <v>-2388000</v>
      </c>
      <c r="G22" s="70"/>
      <c r="H22" s="106">
        <v>269000</v>
      </c>
      <c r="I22" s="244" t="s">
        <v>42</v>
      </c>
      <c r="J22" s="107">
        <f>SUM(J32:J34)</f>
        <v>4</v>
      </c>
      <c r="K22" s="244" t="s">
        <v>5</v>
      </c>
      <c r="L22" s="244" t="s">
        <v>42</v>
      </c>
      <c r="M22" s="38">
        <f>$M$7</f>
        <v>12</v>
      </c>
      <c r="N22" s="244" t="s">
        <v>45</v>
      </c>
      <c r="O22" s="244" t="s">
        <v>43</v>
      </c>
      <c r="P22" s="40">
        <f>H22*J22*M22</f>
        <v>12912000</v>
      </c>
      <c r="Q22" s="7"/>
    </row>
    <row r="23" spans="1:17" ht="20.100000000000001" customHeight="1">
      <c r="A23" s="377" t="s">
        <v>131</v>
      </c>
      <c r="B23" s="378"/>
      <c r="C23" s="379"/>
      <c r="D23" s="55">
        <f>D24</f>
        <v>0</v>
      </c>
      <c r="E23" s="55">
        <f>E24</f>
        <v>0</v>
      </c>
      <c r="F23" s="56">
        <f t="shared" si="3"/>
        <v>0</v>
      </c>
      <c r="G23" s="412"/>
      <c r="H23" s="413"/>
      <c r="I23" s="413"/>
      <c r="J23" s="413"/>
      <c r="K23" s="413"/>
      <c r="L23" s="413"/>
      <c r="M23" s="413"/>
      <c r="N23" s="413"/>
      <c r="O23" s="413"/>
      <c r="P23" s="414"/>
      <c r="Q23" s="18"/>
    </row>
    <row r="24" spans="1:17" ht="20.100000000000001" customHeight="1">
      <c r="A24" s="380"/>
      <c r="B24" s="361" t="s">
        <v>132</v>
      </c>
      <c r="C24" s="362"/>
      <c r="D24" s="36">
        <f>D25+D26</f>
        <v>0</v>
      </c>
      <c r="E24" s="36">
        <f>E25+E26</f>
        <v>0</v>
      </c>
      <c r="F24" s="37">
        <f t="shared" si="3"/>
        <v>0</v>
      </c>
      <c r="G24" s="402"/>
      <c r="H24" s="403"/>
      <c r="I24" s="403"/>
      <c r="J24" s="403"/>
      <c r="K24" s="403"/>
      <c r="L24" s="403"/>
      <c r="M24" s="403"/>
      <c r="N24" s="403"/>
      <c r="O24" s="403"/>
      <c r="P24" s="404"/>
      <c r="Q24" s="7"/>
    </row>
    <row r="25" spans="1:17" ht="20.100000000000001" customHeight="1">
      <c r="A25" s="380"/>
      <c r="B25" s="363"/>
      <c r="C25" s="5" t="s">
        <v>16</v>
      </c>
      <c r="D25" s="128"/>
      <c r="E25" s="36">
        <f>P25</f>
        <v>0</v>
      </c>
      <c r="F25" s="37">
        <f t="shared" si="3"/>
        <v>0</v>
      </c>
      <c r="G25" s="70"/>
      <c r="H25" s="106"/>
      <c r="I25" s="172" t="s">
        <v>42</v>
      </c>
      <c r="J25" s="107"/>
      <c r="K25" s="172"/>
      <c r="L25" s="172"/>
      <c r="M25" s="38">
        <f>$M$7</f>
        <v>12</v>
      </c>
      <c r="N25" s="172" t="s">
        <v>44</v>
      </c>
      <c r="O25" s="172" t="s">
        <v>43</v>
      </c>
      <c r="P25" s="40">
        <f>H25*M25</f>
        <v>0</v>
      </c>
      <c r="Q25" s="7"/>
    </row>
    <row r="26" spans="1:17" ht="20.100000000000001" customHeight="1" thickBot="1">
      <c r="A26" s="381"/>
      <c r="B26" s="364"/>
      <c r="C26" s="8" t="s">
        <v>17</v>
      </c>
      <c r="D26" s="108">
        <v>0</v>
      </c>
      <c r="E26" s="53">
        <f>P26</f>
        <v>0</v>
      </c>
      <c r="F26" s="54">
        <f t="shared" si="3"/>
        <v>0</v>
      </c>
      <c r="G26" s="83"/>
      <c r="H26" s="258">
        <v>0</v>
      </c>
      <c r="I26" s="61" t="s">
        <v>42</v>
      </c>
      <c r="J26" s="129"/>
      <c r="K26" s="61"/>
      <c r="L26" s="61"/>
      <c r="M26" s="38">
        <f>$M$7</f>
        <v>12</v>
      </c>
      <c r="N26" s="61" t="s">
        <v>44</v>
      </c>
      <c r="O26" s="61" t="s">
        <v>43</v>
      </c>
      <c r="P26" s="63">
        <f>H26*M26</f>
        <v>0</v>
      </c>
      <c r="Q26" s="12"/>
    </row>
    <row r="27" spans="1:17" ht="20.100000000000001" customHeight="1">
      <c r="A27" s="365" t="s">
        <v>427</v>
      </c>
      <c r="B27" s="366"/>
      <c r="C27" s="367"/>
      <c r="D27" s="34">
        <f>D28</f>
        <v>580262496</v>
      </c>
      <c r="E27" s="34">
        <f>E28</f>
        <v>589189572</v>
      </c>
      <c r="F27" s="35">
        <f t="shared" si="3"/>
        <v>8927076</v>
      </c>
      <c r="G27" s="412"/>
      <c r="H27" s="413"/>
      <c r="I27" s="413"/>
      <c r="J27" s="413"/>
      <c r="K27" s="413"/>
      <c r="L27" s="413"/>
      <c r="M27" s="413"/>
      <c r="N27" s="413"/>
      <c r="O27" s="413"/>
      <c r="P27" s="414"/>
      <c r="Q27" s="19"/>
    </row>
    <row r="28" spans="1:17" ht="20.100000000000001" customHeight="1">
      <c r="A28" s="380"/>
      <c r="B28" s="361" t="s">
        <v>134</v>
      </c>
      <c r="C28" s="362"/>
      <c r="D28" s="36">
        <f>SUM(D29:D36)</f>
        <v>580262496</v>
      </c>
      <c r="E28" s="36">
        <f>SUM(E29:E36)</f>
        <v>589189572</v>
      </c>
      <c r="F28" s="37">
        <f t="shared" si="3"/>
        <v>8927076</v>
      </c>
      <c r="G28" s="402"/>
      <c r="H28" s="403"/>
      <c r="I28" s="403"/>
      <c r="J28" s="403"/>
      <c r="K28" s="403"/>
      <c r="L28" s="403"/>
      <c r="M28" s="403"/>
      <c r="N28" s="403"/>
      <c r="O28" s="403"/>
      <c r="P28" s="404"/>
      <c r="Q28" s="7"/>
    </row>
    <row r="29" spans="1:17" ht="20.100000000000001" customHeight="1">
      <c r="A29" s="380"/>
      <c r="B29" s="368"/>
      <c r="C29" s="370" t="s">
        <v>18</v>
      </c>
      <c r="D29" s="393">
        <v>557052000</v>
      </c>
      <c r="E29" s="396">
        <f>SUM(P29:P34)</f>
        <v>572028720</v>
      </c>
      <c r="F29" s="399">
        <f t="shared" ref="F29" si="4">E29-D29</f>
        <v>14976720</v>
      </c>
      <c r="G29" s="79" t="s">
        <v>39</v>
      </c>
      <c r="H29" s="41">
        <f>'2022년수가'!F3</f>
        <v>1826340</v>
      </c>
      <c r="I29" s="42" t="s">
        <v>32</v>
      </c>
      <c r="J29" s="43">
        <v>1</v>
      </c>
      <c r="K29" s="42" t="s">
        <v>5</v>
      </c>
      <c r="L29" s="42" t="s">
        <v>32</v>
      </c>
      <c r="M29" s="45">
        <f t="shared" ref="M29:M36" si="5">$M$7</f>
        <v>12</v>
      </c>
      <c r="N29" s="42" t="s">
        <v>164</v>
      </c>
      <c r="O29" s="42" t="s">
        <v>33</v>
      </c>
      <c r="P29" s="44">
        <f t="shared" ref="P29:P31" si="6">H29*J29*M29</f>
        <v>21916080</v>
      </c>
      <c r="Q29" s="30"/>
    </row>
    <row r="30" spans="1:17" ht="20.100000000000001" customHeight="1">
      <c r="A30" s="380"/>
      <c r="B30" s="369"/>
      <c r="C30" s="371"/>
      <c r="D30" s="394"/>
      <c r="E30" s="397"/>
      <c r="F30" s="400"/>
      <c r="G30" s="80" t="s">
        <v>40</v>
      </c>
      <c r="H30" s="45">
        <f>'2022년수가'!F4</f>
        <v>1694580</v>
      </c>
      <c r="I30" s="46" t="s">
        <v>32</v>
      </c>
      <c r="J30" s="47">
        <v>4</v>
      </c>
      <c r="K30" s="46" t="s">
        <v>5</v>
      </c>
      <c r="L30" s="46" t="s">
        <v>32</v>
      </c>
      <c r="M30" s="45">
        <f t="shared" si="5"/>
        <v>12</v>
      </c>
      <c r="N30" s="46" t="s">
        <v>164</v>
      </c>
      <c r="O30" s="46" t="s">
        <v>33</v>
      </c>
      <c r="P30" s="48">
        <f t="shared" si="6"/>
        <v>81339840</v>
      </c>
      <c r="Q30" s="31"/>
    </row>
    <row r="31" spans="1:17" ht="20.100000000000001" customHeight="1">
      <c r="A31" s="380"/>
      <c r="B31" s="369"/>
      <c r="C31" s="371"/>
      <c r="D31" s="394"/>
      <c r="E31" s="397"/>
      <c r="F31" s="400"/>
      <c r="G31" s="80" t="s">
        <v>158</v>
      </c>
      <c r="H31" s="45">
        <f>'2022년수가'!F5</f>
        <v>1562576</v>
      </c>
      <c r="I31" s="46" t="s">
        <v>32</v>
      </c>
      <c r="J31" s="47">
        <v>20</v>
      </c>
      <c r="K31" s="46" t="s">
        <v>5</v>
      </c>
      <c r="L31" s="46" t="s">
        <v>32</v>
      </c>
      <c r="M31" s="45">
        <f t="shared" si="5"/>
        <v>12</v>
      </c>
      <c r="N31" s="46" t="s">
        <v>164</v>
      </c>
      <c r="O31" s="46" t="s">
        <v>33</v>
      </c>
      <c r="P31" s="48">
        <f t="shared" si="6"/>
        <v>375018240</v>
      </c>
      <c r="Q31" s="31"/>
    </row>
    <row r="32" spans="1:17" ht="20.100000000000001" customHeight="1">
      <c r="A32" s="380"/>
      <c r="B32" s="369"/>
      <c r="C32" s="371"/>
      <c r="D32" s="394"/>
      <c r="E32" s="397"/>
      <c r="F32" s="400"/>
      <c r="G32" s="80" t="s">
        <v>202</v>
      </c>
      <c r="H32" s="45">
        <f>'2022년수가'!F12</f>
        <v>2282925</v>
      </c>
      <c r="I32" s="46" t="s">
        <v>32</v>
      </c>
      <c r="J32" s="255">
        <v>0</v>
      </c>
      <c r="K32" s="46" t="s">
        <v>5</v>
      </c>
      <c r="L32" s="46" t="s">
        <v>32</v>
      </c>
      <c r="M32" s="45">
        <f t="shared" si="5"/>
        <v>12</v>
      </c>
      <c r="N32" s="46" t="s">
        <v>164</v>
      </c>
      <c r="O32" s="46" t="s">
        <v>33</v>
      </c>
      <c r="P32" s="48">
        <f t="shared" ref="P32:P33" si="7">H32*J32*M32</f>
        <v>0</v>
      </c>
      <c r="Q32" s="31"/>
    </row>
    <row r="33" spans="1:17" ht="20.100000000000001" customHeight="1">
      <c r="A33" s="380"/>
      <c r="B33" s="369"/>
      <c r="C33" s="371"/>
      <c r="D33" s="394"/>
      <c r="E33" s="397"/>
      <c r="F33" s="400"/>
      <c r="G33" s="80" t="s">
        <v>203</v>
      </c>
      <c r="H33" s="45">
        <f>'2022년수가'!F13</f>
        <v>2118225</v>
      </c>
      <c r="I33" s="46" t="s">
        <v>32</v>
      </c>
      <c r="J33" s="255">
        <v>0</v>
      </c>
      <c r="K33" s="46" t="s">
        <v>5</v>
      </c>
      <c r="L33" s="46" t="s">
        <v>32</v>
      </c>
      <c r="M33" s="45">
        <f t="shared" si="5"/>
        <v>12</v>
      </c>
      <c r="N33" s="46" t="s">
        <v>164</v>
      </c>
      <c r="O33" s="46" t="s">
        <v>33</v>
      </c>
      <c r="P33" s="48">
        <f t="shared" si="7"/>
        <v>0</v>
      </c>
      <c r="Q33" s="31"/>
    </row>
    <row r="34" spans="1:17" ht="20.100000000000001" customHeight="1">
      <c r="A34" s="380"/>
      <c r="B34" s="369"/>
      <c r="C34" s="372"/>
      <c r="D34" s="395"/>
      <c r="E34" s="398"/>
      <c r="F34" s="401"/>
      <c r="G34" s="81" t="s">
        <v>204</v>
      </c>
      <c r="H34" s="49">
        <f>'2022년수가'!F14</f>
        <v>1953220</v>
      </c>
      <c r="I34" s="50" t="s">
        <v>32</v>
      </c>
      <c r="J34" s="257">
        <v>4</v>
      </c>
      <c r="K34" s="50" t="s">
        <v>5</v>
      </c>
      <c r="L34" s="50" t="s">
        <v>32</v>
      </c>
      <c r="M34" s="49">
        <f t="shared" si="5"/>
        <v>12</v>
      </c>
      <c r="N34" s="50" t="s">
        <v>164</v>
      </c>
      <c r="O34" s="50" t="s">
        <v>33</v>
      </c>
      <c r="P34" s="51">
        <f t="shared" ref="P34" si="8">H34*J34*M34</f>
        <v>93754560</v>
      </c>
      <c r="Q34" s="32"/>
    </row>
    <row r="35" spans="1:17" ht="20.100000000000001" customHeight="1">
      <c r="A35" s="382"/>
      <c r="B35" s="369"/>
      <c r="C35" s="33" t="s">
        <v>212</v>
      </c>
      <c r="D35" s="105">
        <v>23210496</v>
      </c>
      <c r="E35" s="52">
        <f>P35</f>
        <v>17160852</v>
      </c>
      <c r="F35" s="64">
        <f>E35-D35</f>
        <v>-6049644</v>
      </c>
      <c r="G35" s="69"/>
      <c r="H35" s="106">
        <f>ROUNDDOWN((E29*3%)/M35,0)</f>
        <v>1430071</v>
      </c>
      <c r="I35" s="244" t="s">
        <v>205</v>
      </c>
      <c r="J35" s="39">
        <v>1</v>
      </c>
      <c r="K35" s="50" t="s">
        <v>5</v>
      </c>
      <c r="L35" s="244" t="s">
        <v>32</v>
      </c>
      <c r="M35" s="38">
        <f t="shared" si="5"/>
        <v>12</v>
      </c>
      <c r="N35" s="244" t="s">
        <v>164</v>
      </c>
      <c r="O35" s="244" t="s">
        <v>33</v>
      </c>
      <c r="P35" s="40">
        <f>H35*M35*J35</f>
        <v>17160852</v>
      </c>
      <c r="Q35" s="17"/>
    </row>
    <row r="36" spans="1:17" ht="20.100000000000001" customHeight="1" thickBot="1">
      <c r="A36" s="382"/>
      <c r="B36" s="369"/>
      <c r="C36" s="33" t="s">
        <v>213</v>
      </c>
      <c r="D36" s="105">
        <v>0</v>
      </c>
      <c r="E36" s="52">
        <f>P36</f>
        <v>0</v>
      </c>
      <c r="F36" s="64">
        <f>E36-D36</f>
        <v>0</v>
      </c>
      <c r="G36" s="69"/>
      <c r="H36" s="106">
        <v>0</v>
      </c>
      <c r="I36" s="244" t="s">
        <v>32</v>
      </c>
      <c r="J36" s="107">
        <v>0</v>
      </c>
      <c r="K36" s="244" t="s">
        <v>5</v>
      </c>
      <c r="L36" s="244" t="s">
        <v>32</v>
      </c>
      <c r="M36" s="38">
        <f t="shared" si="5"/>
        <v>12</v>
      </c>
      <c r="N36" s="244" t="s">
        <v>3</v>
      </c>
      <c r="O36" s="244" t="s">
        <v>33</v>
      </c>
      <c r="P36" s="40">
        <f t="shared" ref="P36" si="9">H36*J36*M36</f>
        <v>0</v>
      </c>
      <c r="Q36" s="17"/>
    </row>
    <row r="37" spans="1:17" ht="20.100000000000001" customHeight="1">
      <c r="A37" s="377" t="s">
        <v>135</v>
      </c>
      <c r="B37" s="378"/>
      <c r="C37" s="379"/>
      <c r="D37" s="55">
        <f>D38</f>
        <v>46700000</v>
      </c>
      <c r="E37" s="55">
        <f>E38</f>
        <v>0</v>
      </c>
      <c r="F37" s="56">
        <f t="shared" si="3"/>
        <v>-46700000</v>
      </c>
      <c r="G37" s="412"/>
      <c r="H37" s="413"/>
      <c r="I37" s="413"/>
      <c r="J37" s="413"/>
      <c r="K37" s="413"/>
      <c r="L37" s="413"/>
      <c r="M37" s="413"/>
      <c r="N37" s="413"/>
      <c r="O37" s="413"/>
      <c r="P37" s="414"/>
      <c r="Q37" s="18"/>
    </row>
    <row r="38" spans="1:17" ht="20.100000000000001" customHeight="1">
      <c r="A38" s="380"/>
      <c r="B38" s="361" t="s">
        <v>136</v>
      </c>
      <c r="C38" s="362"/>
      <c r="D38" s="36">
        <f>D39+D40</f>
        <v>46700000</v>
      </c>
      <c r="E38" s="36">
        <f>E39+E40</f>
        <v>0</v>
      </c>
      <c r="F38" s="37">
        <f t="shared" si="3"/>
        <v>-46700000</v>
      </c>
      <c r="G38" s="402"/>
      <c r="H38" s="403"/>
      <c r="I38" s="403"/>
      <c r="J38" s="403"/>
      <c r="K38" s="403"/>
      <c r="L38" s="403"/>
      <c r="M38" s="403"/>
      <c r="N38" s="403"/>
      <c r="O38" s="403"/>
      <c r="P38" s="404"/>
      <c r="Q38" s="7"/>
    </row>
    <row r="39" spans="1:17" ht="20.100000000000001" customHeight="1">
      <c r="A39" s="380"/>
      <c r="B39" s="363"/>
      <c r="C39" s="5" t="s">
        <v>19</v>
      </c>
      <c r="D39" s="128">
        <v>46700000</v>
      </c>
      <c r="E39" s="36">
        <f>P39</f>
        <v>0</v>
      </c>
      <c r="F39" s="37">
        <f t="shared" si="3"/>
        <v>-46700000</v>
      </c>
      <c r="G39" s="70"/>
      <c r="H39" s="106"/>
      <c r="I39" s="172" t="s">
        <v>42</v>
      </c>
      <c r="J39" s="39"/>
      <c r="K39" s="172"/>
      <c r="L39" s="172"/>
      <c r="M39" s="38">
        <v>1</v>
      </c>
      <c r="N39" s="172" t="s">
        <v>209</v>
      </c>
      <c r="O39" s="172" t="s">
        <v>43</v>
      </c>
      <c r="P39" s="40">
        <f>H39*M39</f>
        <v>0</v>
      </c>
      <c r="Q39" s="7"/>
    </row>
    <row r="40" spans="1:17" ht="20.100000000000001" customHeight="1" thickBot="1">
      <c r="A40" s="381"/>
      <c r="B40" s="364"/>
      <c r="C40" s="8" t="s">
        <v>20</v>
      </c>
      <c r="D40" s="108"/>
      <c r="E40" s="53">
        <f>P40</f>
        <v>0</v>
      </c>
      <c r="F40" s="54">
        <f t="shared" si="3"/>
        <v>0</v>
      </c>
      <c r="G40" s="70"/>
      <c r="H40" s="256">
        <v>0</v>
      </c>
      <c r="I40" s="58" t="s">
        <v>42</v>
      </c>
      <c r="J40" s="59"/>
      <c r="K40" s="58"/>
      <c r="L40" s="58"/>
      <c r="M40" s="57">
        <v>1</v>
      </c>
      <c r="N40" s="58" t="s">
        <v>210</v>
      </c>
      <c r="O40" s="58" t="s">
        <v>43</v>
      </c>
      <c r="P40" s="60">
        <f>H40*M40</f>
        <v>0</v>
      </c>
      <c r="Q40" s="12"/>
    </row>
    <row r="41" spans="1:17" ht="20.100000000000001" customHeight="1">
      <c r="A41" s="365" t="s">
        <v>137</v>
      </c>
      <c r="B41" s="366"/>
      <c r="C41" s="367"/>
      <c r="D41" s="34">
        <f>D42</f>
        <v>24000000</v>
      </c>
      <c r="E41" s="34">
        <f>E42</f>
        <v>0</v>
      </c>
      <c r="F41" s="35">
        <f t="shared" si="3"/>
        <v>-24000000</v>
      </c>
      <c r="G41" s="412"/>
      <c r="H41" s="413"/>
      <c r="I41" s="413"/>
      <c r="J41" s="413"/>
      <c r="K41" s="413"/>
      <c r="L41" s="413"/>
      <c r="M41" s="413"/>
      <c r="N41" s="413"/>
      <c r="O41" s="413"/>
      <c r="P41" s="414"/>
      <c r="Q41" s="19"/>
    </row>
    <row r="42" spans="1:17" ht="20.100000000000001" customHeight="1">
      <c r="A42" s="380"/>
      <c r="B42" s="361" t="s">
        <v>138</v>
      </c>
      <c r="C42" s="362"/>
      <c r="D42" s="36">
        <f>SUM(D43:D46)</f>
        <v>24000000</v>
      </c>
      <c r="E42" s="36">
        <f>SUM(E43:E46)</f>
        <v>0</v>
      </c>
      <c r="F42" s="37">
        <f t="shared" si="3"/>
        <v>-24000000</v>
      </c>
      <c r="G42" s="402"/>
      <c r="H42" s="403"/>
      <c r="I42" s="403"/>
      <c r="J42" s="403"/>
      <c r="K42" s="403"/>
      <c r="L42" s="403"/>
      <c r="M42" s="403"/>
      <c r="N42" s="403"/>
      <c r="O42" s="403"/>
      <c r="P42" s="404"/>
      <c r="Q42" s="7"/>
    </row>
    <row r="43" spans="1:17" ht="20.100000000000001" customHeight="1">
      <c r="A43" s="380"/>
      <c r="B43" s="363"/>
      <c r="C43" s="5" t="s">
        <v>21</v>
      </c>
      <c r="D43" s="128"/>
      <c r="E43" s="36">
        <f>P43</f>
        <v>0</v>
      </c>
      <c r="F43" s="37">
        <f t="shared" si="3"/>
        <v>0</v>
      </c>
      <c r="G43" s="70"/>
      <c r="H43" s="106"/>
      <c r="I43" s="172" t="s">
        <v>42</v>
      </c>
      <c r="J43" s="39"/>
      <c r="K43" s="172"/>
      <c r="L43" s="172"/>
      <c r="M43" s="38">
        <f>$M$7</f>
        <v>12</v>
      </c>
      <c r="N43" s="172" t="s">
        <v>6</v>
      </c>
      <c r="O43" s="172" t="s">
        <v>43</v>
      </c>
      <c r="P43" s="40">
        <f>H43*M43</f>
        <v>0</v>
      </c>
      <c r="Q43" s="7"/>
    </row>
    <row r="44" spans="1:17" ht="20.100000000000001" customHeight="1">
      <c r="A44" s="380"/>
      <c r="B44" s="363"/>
      <c r="C44" s="5" t="s">
        <v>22</v>
      </c>
      <c r="D44" s="128"/>
      <c r="E44" s="36">
        <f t="shared" ref="E44:E46" si="10">P44</f>
        <v>0</v>
      </c>
      <c r="F44" s="37">
        <f t="shared" si="3"/>
        <v>0</v>
      </c>
      <c r="G44" s="70"/>
      <c r="H44" s="106"/>
      <c r="I44" s="172" t="s">
        <v>42</v>
      </c>
      <c r="J44" s="39"/>
      <c r="K44" s="172"/>
      <c r="L44" s="172"/>
      <c r="M44" s="38">
        <f>$M$7</f>
        <v>12</v>
      </c>
      <c r="N44" s="172" t="s">
        <v>6</v>
      </c>
      <c r="O44" s="172" t="s">
        <v>43</v>
      </c>
      <c r="P44" s="40">
        <f>H44*M44</f>
        <v>0</v>
      </c>
      <c r="Q44" s="7"/>
    </row>
    <row r="45" spans="1:17" ht="20.100000000000001" customHeight="1">
      <c r="A45" s="380"/>
      <c r="B45" s="363"/>
      <c r="C45" s="5" t="s">
        <v>23</v>
      </c>
      <c r="D45" s="128">
        <v>24000000</v>
      </c>
      <c r="E45" s="36">
        <f t="shared" si="10"/>
        <v>0</v>
      </c>
      <c r="F45" s="37">
        <f t="shared" si="3"/>
        <v>-24000000</v>
      </c>
      <c r="G45" s="70"/>
      <c r="H45" s="106"/>
      <c r="I45" s="172" t="s">
        <v>42</v>
      </c>
      <c r="J45" s="39"/>
      <c r="K45" s="172"/>
      <c r="L45" s="172"/>
      <c r="M45" s="38">
        <f>$M$7</f>
        <v>12</v>
      </c>
      <c r="N45" s="172" t="s">
        <v>6</v>
      </c>
      <c r="O45" s="172" t="s">
        <v>43</v>
      </c>
      <c r="P45" s="40">
        <f>H45*M45</f>
        <v>0</v>
      </c>
      <c r="Q45" s="7"/>
    </row>
    <row r="46" spans="1:17" ht="20.100000000000001" customHeight="1" thickBot="1">
      <c r="A46" s="382"/>
      <c r="B46" s="368"/>
      <c r="C46" s="173" t="s">
        <v>24</v>
      </c>
      <c r="D46" s="105"/>
      <c r="E46" s="52">
        <f t="shared" si="10"/>
        <v>0</v>
      </c>
      <c r="F46" s="64">
        <f t="shared" ref="F46:F62" si="11">E46-D46</f>
        <v>0</v>
      </c>
      <c r="G46" s="71"/>
      <c r="H46" s="259"/>
      <c r="I46" s="65" t="s">
        <v>42</v>
      </c>
      <c r="J46" s="66"/>
      <c r="K46" s="65"/>
      <c r="L46" s="65"/>
      <c r="M46" s="38">
        <f>$M$7</f>
        <v>12</v>
      </c>
      <c r="N46" s="65" t="s">
        <v>6</v>
      </c>
      <c r="O46" s="65" t="s">
        <v>43</v>
      </c>
      <c r="P46" s="40">
        <f>H46*M46</f>
        <v>0</v>
      </c>
      <c r="Q46" s="17"/>
    </row>
    <row r="47" spans="1:17" ht="20.100000000000001" customHeight="1">
      <c r="A47" s="383" t="s">
        <v>139</v>
      </c>
      <c r="B47" s="384"/>
      <c r="C47" s="384"/>
      <c r="D47" s="55">
        <f>D48</f>
        <v>4283904</v>
      </c>
      <c r="E47" s="55">
        <f>E48</f>
        <v>20000000</v>
      </c>
      <c r="F47" s="56">
        <f t="shared" si="11"/>
        <v>15716096</v>
      </c>
      <c r="G47" s="412"/>
      <c r="H47" s="413"/>
      <c r="I47" s="413"/>
      <c r="J47" s="413"/>
      <c r="K47" s="413"/>
      <c r="L47" s="413"/>
      <c r="M47" s="413"/>
      <c r="N47" s="413"/>
      <c r="O47" s="413"/>
      <c r="P47" s="414"/>
      <c r="Q47" s="18"/>
    </row>
    <row r="48" spans="1:17" ht="20.100000000000001" customHeight="1">
      <c r="A48" s="373"/>
      <c r="B48" s="361" t="s">
        <v>140</v>
      </c>
      <c r="C48" s="362"/>
      <c r="D48" s="36">
        <f>SUM(D49:D51)</f>
        <v>4283904</v>
      </c>
      <c r="E48" s="36">
        <f>SUM(E49:E51)</f>
        <v>20000000</v>
      </c>
      <c r="F48" s="37">
        <f t="shared" si="11"/>
        <v>15716096</v>
      </c>
      <c r="G48" s="402"/>
      <c r="H48" s="403"/>
      <c r="I48" s="403"/>
      <c r="J48" s="403"/>
      <c r="K48" s="403"/>
      <c r="L48" s="403"/>
      <c r="M48" s="403"/>
      <c r="N48" s="403"/>
      <c r="O48" s="403"/>
      <c r="P48" s="404"/>
      <c r="Q48" s="7"/>
    </row>
    <row r="49" spans="1:19" ht="20.100000000000001" customHeight="1">
      <c r="A49" s="373"/>
      <c r="B49" s="375"/>
      <c r="C49" s="5" t="s">
        <v>25</v>
      </c>
      <c r="D49" s="128">
        <v>4283904</v>
      </c>
      <c r="E49" s="36">
        <f>P49</f>
        <v>10000000</v>
      </c>
      <c r="F49" s="37">
        <f t="shared" si="11"/>
        <v>5716096</v>
      </c>
      <c r="G49" s="70"/>
      <c r="H49" s="106">
        <v>10000000</v>
      </c>
      <c r="I49" s="244" t="s">
        <v>42</v>
      </c>
      <c r="J49" s="39"/>
      <c r="K49" s="244"/>
      <c r="L49" s="244"/>
      <c r="M49" s="38">
        <v>1</v>
      </c>
      <c r="N49" s="244" t="s">
        <v>6</v>
      </c>
      <c r="O49" s="244" t="s">
        <v>43</v>
      </c>
      <c r="P49" s="40">
        <f>H49*M49</f>
        <v>10000000</v>
      </c>
      <c r="Q49" s="7"/>
    </row>
    <row r="50" spans="1:19" ht="20.100000000000001" customHeight="1">
      <c r="A50" s="374"/>
      <c r="B50" s="376"/>
      <c r="C50" s="5" t="s">
        <v>162</v>
      </c>
      <c r="D50" s="128"/>
      <c r="E50" s="36">
        <f>P50</f>
        <v>0</v>
      </c>
      <c r="F50" s="37">
        <f t="shared" ref="F50" si="12">E50-D50</f>
        <v>0</v>
      </c>
      <c r="G50" s="70"/>
      <c r="H50" s="106"/>
      <c r="I50" s="244" t="s">
        <v>32</v>
      </c>
      <c r="J50" s="39"/>
      <c r="K50" s="244"/>
      <c r="L50" s="244"/>
      <c r="M50" s="38">
        <f>$M$7</f>
        <v>12</v>
      </c>
      <c r="N50" s="244" t="s">
        <v>6</v>
      </c>
      <c r="O50" s="244" t="s">
        <v>43</v>
      </c>
      <c r="P50" s="40">
        <f>H50*M50</f>
        <v>0</v>
      </c>
      <c r="Q50" s="7"/>
    </row>
    <row r="51" spans="1:19" ht="20.100000000000001" customHeight="1" thickBot="1">
      <c r="A51" s="385"/>
      <c r="B51" s="386"/>
      <c r="C51" s="28" t="s">
        <v>163</v>
      </c>
      <c r="D51" s="130"/>
      <c r="E51" s="67">
        <f>P51</f>
        <v>10000000</v>
      </c>
      <c r="F51" s="68">
        <f t="shared" si="11"/>
        <v>10000000</v>
      </c>
      <c r="G51" s="83"/>
      <c r="H51" s="258">
        <v>10000000</v>
      </c>
      <c r="I51" s="61" t="s">
        <v>42</v>
      </c>
      <c r="J51" s="62"/>
      <c r="K51" s="61"/>
      <c r="L51" s="61"/>
      <c r="M51" s="38">
        <v>1</v>
      </c>
      <c r="N51" s="61" t="s">
        <v>6</v>
      </c>
      <c r="O51" s="61" t="s">
        <v>43</v>
      </c>
      <c r="P51" s="63">
        <f>H51*M51</f>
        <v>10000000</v>
      </c>
      <c r="Q51" s="29"/>
    </row>
    <row r="52" spans="1:19" ht="20.100000000000001" customHeight="1">
      <c r="A52" s="387" t="s">
        <v>141</v>
      </c>
      <c r="B52" s="388"/>
      <c r="C52" s="388"/>
      <c r="D52" s="34">
        <f>D53</f>
        <v>40320000</v>
      </c>
      <c r="E52" s="34">
        <f>E53</f>
        <v>78318051.007200003</v>
      </c>
      <c r="F52" s="35">
        <f t="shared" si="11"/>
        <v>37998051.007200003</v>
      </c>
      <c r="G52" s="412"/>
      <c r="H52" s="413"/>
      <c r="I52" s="413"/>
      <c r="J52" s="413"/>
      <c r="K52" s="413"/>
      <c r="L52" s="413"/>
      <c r="M52" s="413"/>
      <c r="N52" s="413"/>
      <c r="O52" s="413"/>
      <c r="P52" s="414"/>
      <c r="Q52" s="19"/>
    </row>
    <row r="53" spans="1:19" ht="20.100000000000001" customHeight="1">
      <c r="A53" s="373"/>
      <c r="B53" s="361" t="s">
        <v>143</v>
      </c>
      <c r="C53" s="362"/>
      <c r="D53" s="36">
        <f>SUM(D54:D58)</f>
        <v>40320000</v>
      </c>
      <c r="E53" s="36">
        <f>SUM(E54:E58)</f>
        <v>78318051.007200003</v>
      </c>
      <c r="F53" s="37">
        <f t="shared" si="11"/>
        <v>37998051.007200003</v>
      </c>
      <c r="G53" s="402"/>
      <c r="H53" s="403"/>
      <c r="I53" s="403"/>
      <c r="J53" s="403"/>
      <c r="K53" s="403"/>
      <c r="L53" s="403"/>
      <c r="M53" s="403"/>
      <c r="N53" s="403"/>
      <c r="O53" s="403"/>
      <c r="P53" s="404"/>
      <c r="Q53" s="7"/>
    </row>
    <row r="54" spans="1:19" ht="20.100000000000001" customHeight="1">
      <c r="A54" s="373"/>
      <c r="B54" s="375"/>
      <c r="C54" s="5" t="s">
        <v>26</v>
      </c>
      <c r="D54" s="128">
        <v>0</v>
      </c>
      <c r="E54" s="36">
        <f>P54</f>
        <v>0</v>
      </c>
      <c r="F54" s="37">
        <f t="shared" si="11"/>
        <v>0</v>
      </c>
      <c r="G54" s="70"/>
      <c r="H54" s="106"/>
      <c r="I54" s="172" t="s">
        <v>42</v>
      </c>
      <c r="J54" s="39"/>
      <c r="K54" s="172"/>
      <c r="L54" s="172"/>
      <c r="M54" s="38">
        <f>$M$7</f>
        <v>12</v>
      </c>
      <c r="N54" s="172" t="s">
        <v>6</v>
      </c>
      <c r="O54" s="172" t="s">
        <v>43</v>
      </c>
      <c r="P54" s="40">
        <f>H54*M54</f>
        <v>0</v>
      </c>
      <c r="Q54" s="7"/>
    </row>
    <row r="55" spans="1:19" ht="20.100000000000001" customHeight="1">
      <c r="A55" s="373"/>
      <c r="B55" s="375"/>
      <c r="C55" s="5" t="s">
        <v>27</v>
      </c>
      <c r="D55" s="128">
        <v>120000</v>
      </c>
      <c r="E55" s="36">
        <f t="shared" ref="E55:E58" si="13">P55</f>
        <v>120000</v>
      </c>
      <c r="F55" s="37">
        <f t="shared" si="11"/>
        <v>0</v>
      </c>
      <c r="G55" s="70"/>
      <c r="H55" s="106">
        <v>10000</v>
      </c>
      <c r="I55" s="244" t="s">
        <v>42</v>
      </c>
      <c r="J55" s="39"/>
      <c r="K55" s="244"/>
      <c r="L55" s="244"/>
      <c r="M55" s="38">
        <f>$M$7</f>
        <v>12</v>
      </c>
      <c r="N55" s="244" t="s">
        <v>6</v>
      </c>
      <c r="O55" s="244" t="s">
        <v>43</v>
      </c>
      <c r="P55" s="40">
        <f>H55*M55</f>
        <v>120000</v>
      </c>
      <c r="Q55" s="7"/>
      <c r="R55" s="2" t="s">
        <v>7</v>
      </c>
    </row>
    <row r="56" spans="1:19" ht="20.100000000000001" customHeight="1">
      <c r="A56" s="373"/>
      <c r="B56" s="375"/>
      <c r="C56" s="5" t="s">
        <v>28</v>
      </c>
      <c r="D56" s="128">
        <v>7200000</v>
      </c>
      <c r="E56" s="36">
        <f t="shared" si="13"/>
        <v>7560000</v>
      </c>
      <c r="F56" s="37">
        <f t="shared" si="11"/>
        <v>360000</v>
      </c>
      <c r="G56" s="70"/>
      <c r="H56" s="106">
        <v>35000</v>
      </c>
      <c r="I56" s="244" t="s">
        <v>206</v>
      </c>
      <c r="J56" s="107">
        <v>18</v>
      </c>
      <c r="K56" s="244" t="s">
        <v>211</v>
      </c>
      <c r="L56" s="244" t="s">
        <v>206</v>
      </c>
      <c r="M56" s="38">
        <f>$M$7</f>
        <v>12</v>
      </c>
      <c r="N56" s="244" t="s">
        <v>6</v>
      </c>
      <c r="O56" s="244" t="s">
        <v>43</v>
      </c>
      <c r="P56" s="40">
        <f>H56*J56*M56</f>
        <v>7560000</v>
      </c>
      <c r="Q56" s="7"/>
      <c r="R56" s="2"/>
    </row>
    <row r="57" spans="1:19" ht="20.100000000000001" customHeight="1">
      <c r="A57" s="374"/>
      <c r="B57" s="376"/>
      <c r="C57" s="21" t="s">
        <v>29</v>
      </c>
      <c r="D57" s="105">
        <v>3000000</v>
      </c>
      <c r="E57" s="52">
        <f t="shared" ref="E57" si="14">P57</f>
        <v>58638051.007200003</v>
      </c>
      <c r="F57" s="64">
        <f t="shared" ref="F57" si="15">E57-D57</f>
        <v>55638051.007200003</v>
      </c>
      <c r="G57" s="71"/>
      <c r="H57" s="259">
        <v>58638051.007200003</v>
      </c>
      <c r="I57" s="65" t="s">
        <v>42</v>
      </c>
      <c r="J57" s="66"/>
      <c r="K57" s="65"/>
      <c r="L57" s="65"/>
      <c r="M57" s="38">
        <v>1</v>
      </c>
      <c r="N57" s="65" t="s">
        <v>210</v>
      </c>
      <c r="O57" s="65" t="s">
        <v>43</v>
      </c>
      <c r="P57" s="40">
        <f>H57*M57</f>
        <v>58638051.007200003</v>
      </c>
      <c r="Q57" s="17"/>
      <c r="R57" s="2"/>
    </row>
    <row r="58" spans="1:19" ht="20.100000000000001" customHeight="1" thickBot="1">
      <c r="A58" s="374"/>
      <c r="B58" s="376"/>
      <c r="C58" s="21" t="s">
        <v>338</v>
      </c>
      <c r="D58" s="105">
        <v>30000000</v>
      </c>
      <c r="E58" s="52">
        <f t="shared" si="13"/>
        <v>12000000</v>
      </c>
      <c r="F58" s="64">
        <f t="shared" si="11"/>
        <v>-18000000</v>
      </c>
      <c r="G58" s="71"/>
      <c r="H58" s="259">
        <v>1000000</v>
      </c>
      <c r="I58" s="65" t="s">
        <v>42</v>
      </c>
      <c r="J58" s="66"/>
      <c r="K58" s="65"/>
      <c r="L58" s="65"/>
      <c r="M58" s="38">
        <f>$M$7</f>
        <v>12</v>
      </c>
      <c r="N58" s="65" t="s">
        <v>6</v>
      </c>
      <c r="O58" s="65" t="s">
        <v>43</v>
      </c>
      <c r="P58" s="40">
        <f>H58*M58</f>
        <v>12000000</v>
      </c>
      <c r="Q58" s="17"/>
      <c r="R58" s="3" t="s">
        <v>7</v>
      </c>
    </row>
    <row r="59" spans="1:19" ht="20.100000000000001" customHeight="1">
      <c r="A59" s="383" t="s">
        <v>154</v>
      </c>
      <c r="B59" s="384"/>
      <c r="C59" s="384"/>
      <c r="D59" s="55">
        <f>D60</f>
        <v>0</v>
      </c>
      <c r="E59" s="55">
        <f>E60</f>
        <v>0</v>
      </c>
      <c r="F59" s="56">
        <f t="shared" si="11"/>
        <v>0</v>
      </c>
      <c r="G59" s="412"/>
      <c r="H59" s="413"/>
      <c r="I59" s="413"/>
      <c r="J59" s="413"/>
      <c r="K59" s="413"/>
      <c r="L59" s="413"/>
      <c r="M59" s="413"/>
      <c r="N59" s="413"/>
      <c r="O59" s="413"/>
      <c r="P59" s="414"/>
      <c r="Q59" s="18"/>
      <c r="S59" s="1" t="s">
        <v>8</v>
      </c>
    </row>
    <row r="60" spans="1:19" ht="20.100000000000001" customHeight="1">
      <c r="A60" s="373"/>
      <c r="B60" s="361" t="s">
        <v>145</v>
      </c>
      <c r="C60" s="362"/>
      <c r="D60" s="36">
        <f>SUM(D61:D62)</f>
        <v>0</v>
      </c>
      <c r="E60" s="36">
        <f>SUM(E61:E62)</f>
        <v>0</v>
      </c>
      <c r="F60" s="37">
        <f t="shared" si="11"/>
        <v>0</v>
      </c>
      <c r="G60" s="402"/>
      <c r="H60" s="403"/>
      <c r="I60" s="403"/>
      <c r="J60" s="403"/>
      <c r="K60" s="403"/>
      <c r="L60" s="403"/>
      <c r="M60" s="403"/>
      <c r="N60" s="403"/>
      <c r="O60" s="403"/>
      <c r="P60" s="404"/>
      <c r="Q60" s="7"/>
    </row>
    <row r="61" spans="1:19" ht="20.100000000000001" customHeight="1">
      <c r="A61" s="373"/>
      <c r="B61" s="375"/>
      <c r="C61" s="5" t="s">
        <v>30</v>
      </c>
      <c r="D61" s="128"/>
      <c r="E61" s="36">
        <f>P61</f>
        <v>0</v>
      </c>
      <c r="F61" s="37">
        <f t="shared" si="11"/>
        <v>0</v>
      </c>
      <c r="G61" s="70"/>
      <c r="H61" s="106">
        <v>0</v>
      </c>
      <c r="I61" s="244" t="s">
        <v>42</v>
      </c>
      <c r="J61" s="39"/>
      <c r="K61" s="244"/>
      <c r="L61" s="244"/>
      <c r="M61" s="38">
        <f>$M$7</f>
        <v>12</v>
      </c>
      <c r="N61" s="244" t="s">
        <v>6</v>
      </c>
      <c r="O61" s="244" t="s">
        <v>43</v>
      </c>
      <c r="P61" s="40">
        <f>H61*M61</f>
        <v>0</v>
      </c>
      <c r="Q61" s="7"/>
      <c r="S61" s="1" t="s">
        <v>7</v>
      </c>
    </row>
    <row r="62" spans="1:19" ht="20.100000000000001" customHeight="1" thickBot="1">
      <c r="A62" s="385"/>
      <c r="B62" s="386"/>
      <c r="C62" s="8" t="s">
        <v>31</v>
      </c>
      <c r="D62" s="108">
        <v>0</v>
      </c>
      <c r="E62" s="53">
        <f t="shared" ref="E62" si="16">P62</f>
        <v>0</v>
      </c>
      <c r="F62" s="54">
        <f t="shared" si="11"/>
        <v>0</v>
      </c>
      <c r="G62" s="72"/>
      <c r="H62" s="256"/>
      <c r="I62" s="58" t="s">
        <v>42</v>
      </c>
      <c r="J62" s="59"/>
      <c r="K62" s="58"/>
      <c r="L62" s="58"/>
      <c r="M62" s="57">
        <f>$M$7</f>
        <v>12</v>
      </c>
      <c r="N62" s="58" t="s">
        <v>6</v>
      </c>
      <c r="O62" s="58" t="s">
        <v>43</v>
      </c>
      <c r="P62" s="60">
        <f>H62*M62</f>
        <v>0</v>
      </c>
      <c r="Q62" s="12"/>
      <c r="R62" s="2" t="s">
        <v>7</v>
      </c>
    </row>
    <row r="63" spans="1:19" ht="20.100000000000001" customHeight="1" thickBot="1">
      <c r="A63" s="389" t="s">
        <v>4</v>
      </c>
      <c r="B63" s="390"/>
      <c r="C63" s="390"/>
      <c r="D63" s="273">
        <f>D5+D14+D17+D20+D23+D27+D37+D41+D47+D52+D59</f>
        <v>893000000</v>
      </c>
      <c r="E63" s="273">
        <f>E5+E14+E17+E20+E23+E27+E37+E41+E47+E52+E59</f>
        <v>928798163.0072</v>
      </c>
      <c r="F63" s="274">
        <f>E63-D63</f>
        <v>35798163.007200003</v>
      </c>
      <c r="G63" s="275"/>
      <c r="H63" s="276"/>
      <c r="I63" s="277"/>
      <c r="J63" s="278"/>
      <c r="K63" s="277"/>
      <c r="L63" s="277"/>
      <c r="M63" s="276"/>
      <c r="N63" s="277"/>
      <c r="O63" s="277"/>
      <c r="P63" s="279"/>
      <c r="Q63" s="280"/>
      <c r="R63" s="3" t="s">
        <v>9</v>
      </c>
    </row>
    <row r="65" spans="4:19" s="270" customFormat="1">
      <c r="D65" s="265"/>
      <c r="E65" s="265">
        <v>414000000</v>
      </c>
      <c r="F65" s="265"/>
      <c r="G65" s="267"/>
      <c r="H65" s="267"/>
      <c r="I65" s="268"/>
      <c r="J65" s="269"/>
      <c r="K65" s="268"/>
      <c r="L65" s="268"/>
      <c r="M65" s="267"/>
      <c r="N65" s="268"/>
      <c r="O65" s="268"/>
      <c r="P65" s="272"/>
      <c r="S65" s="270" t="s">
        <v>8</v>
      </c>
    </row>
    <row r="66" spans="4:19" s="270" customFormat="1">
      <c r="D66" s="265"/>
      <c r="E66" s="265">
        <f>E65-E63</f>
        <v>-514798163.0072</v>
      </c>
      <c r="F66" s="265"/>
      <c r="G66" s="267"/>
      <c r="H66" s="267"/>
      <c r="I66" s="268"/>
      <c r="J66" s="269"/>
      <c r="K66" s="268"/>
      <c r="L66" s="268"/>
      <c r="M66" s="267"/>
      <c r="N66" s="268"/>
      <c r="O66" s="268"/>
      <c r="P66" s="272"/>
      <c r="S66" s="270" t="s">
        <v>8</v>
      </c>
    </row>
    <row r="67" spans="4:19" s="270" customFormat="1">
      <c r="D67" s="265"/>
      <c r="E67" s="265"/>
      <c r="F67" s="265"/>
      <c r="G67" s="267"/>
      <c r="H67" s="267"/>
      <c r="I67" s="268"/>
      <c r="J67" s="269"/>
      <c r="K67" s="268"/>
      <c r="L67" s="268"/>
      <c r="M67" s="267"/>
      <c r="N67" s="268"/>
      <c r="O67" s="268"/>
      <c r="P67" s="272"/>
    </row>
  </sheetData>
  <sheetProtection selectLockedCells="1"/>
  <mergeCells count="82">
    <mergeCell ref="G48:P48"/>
    <mergeCell ref="G52:P52"/>
    <mergeCell ref="G53:P53"/>
    <mergeCell ref="G59:P59"/>
    <mergeCell ref="G60:P60"/>
    <mergeCell ref="G37:P37"/>
    <mergeCell ref="G38:P38"/>
    <mergeCell ref="G41:P41"/>
    <mergeCell ref="G42:P42"/>
    <mergeCell ref="G47:P47"/>
    <mergeCell ref="G21:P21"/>
    <mergeCell ref="G23:P23"/>
    <mergeCell ref="G24:P24"/>
    <mergeCell ref="G27:P27"/>
    <mergeCell ref="G28:P28"/>
    <mergeCell ref="G14:P14"/>
    <mergeCell ref="G15:P15"/>
    <mergeCell ref="G17:P17"/>
    <mergeCell ref="G18:P18"/>
    <mergeCell ref="G20:P20"/>
    <mergeCell ref="G6:P6"/>
    <mergeCell ref="G5:P5"/>
    <mergeCell ref="A6:A13"/>
    <mergeCell ref="B6:C6"/>
    <mergeCell ref="B7:B13"/>
    <mergeCell ref="C7:C9"/>
    <mergeCell ref="D7:D9"/>
    <mergeCell ref="E7:E9"/>
    <mergeCell ref="F7:F9"/>
    <mergeCell ref="A5:C5"/>
    <mergeCell ref="A14:C14"/>
    <mergeCell ref="A15:A16"/>
    <mergeCell ref="D29:D34"/>
    <mergeCell ref="E29:E34"/>
    <mergeCell ref="F29:F34"/>
    <mergeCell ref="B15:C15"/>
    <mergeCell ref="A28:A36"/>
    <mergeCell ref="B28:C28"/>
    <mergeCell ref="A17:C17"/>
    <mergeCell ref="A18:A19"/>
    <mergeCell ref="B18:C18"/>
    <mergeCell ref="A20:C20"/>
    <mergeCell ref="A21:A22"/>
    <mergeCell ref="B21:C21"/>
    <mergeCell ref="A23:C23"/>
    <mergeCell ref="A24:A26"/>
    <mergeCell ref="A59:C59"/>
    <mergeCell ref="A60:A62"/>
    <mergeCell ref="B60:C60"/>
    <mergeCell ref="B61:B62"/>
    <mergeCell ref="A63:C63"/>
    <mergeCell ref="A53:A58"/>
    <mergeCell ref="B53:C53"/>
    <mergeCell ref="B54:B58"/>
    <mergeCell ref="A37:C37"/>
    <mergeCell ref="A38:A40"/>
    <mergeCell ref="B38:C38"/>
    <mergeCell ref="B39:B40"/>
    <mergeCell ref="A41:C41"/>
    <mergeCell ref="A42:A46"/>
    <mergeCell ref="B42:C42"/>
    <mergeCell ref="B43:B46"/>
    <mergeCell ref="A47:C47"/>
    <mergeCell ref="A48:A51"/>
    <mergeCell ref="B48:C48"/>
    <mergeCell ref="B49:B51"/>
    <mergeCell ref="A52:C52"/>
    <mergeCell ref="B24:C24"/>
    <mergeCell ref="B25:B26"/>
    <mergeCell ref="A27:C27"/>
    <mergeCell ref="B29:B36"/>
    <mergeCell ref="C29:C34"/>
    <mergeCell ref="A1:Q1"/>
    <mergeCell ref="A3:C3"/>
    <mergeCell ref="D3:D4"/>
    <mergeCell ref="E3:E4"/>
    <mergeCell ref="F3:F4"/>
    <mergeCell ref="Q3:Q4"/>
    <mergeCell ref="G3:P3"/>
    <mergeCell ref="A2:C2"/>
    <mergeCell ref="I4:O4"/>
    <mergeCell ref="K2:P2"/>
  </mergeCells>
  <phoneticPr fontId="3" type="noConversion"/>
  <pageMargins left="0.25" right="0.25" top="0.75" bottom="0.75" header="0.3" footer="0.3"/>
  <pageSetup paperSize="9" scale="69" fitToHeight="0" orientation="portrait" r:id="rId1"/>
  <ignoredErrors>
    <ignoredError sqref="I56 J10 K56:O56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S83"/>
  <sheetViews>
    <sheetView zoomScaleNormal="100" workbookViewId="0">
      <pane ySplit="4" topLeftCell="A59" activePane="bottomLeft" state="frozen"/>
      <selection activeCell="U45" sqref="U45"/>
      <selection pane="bottomLeft" activeCell="H38" sqref="H38"/>
    </sheetView>
  </sheetViews>
  <sheetFormatPr defaultRowHeight="16.5"/>
  <cols>
    <col min="1" max="2" width="3.625" style="1" bestFit="1" customWidth="1"/>
    <col min="3" max="3" width="32.625" style="1" customWidth="1"/>
    <col min="4" max="4" width="16.625" style="15" bestFit="1" customWidth="1"/>
    <col min="5" max="6" width="18.25" style="15" bestFit="1" customWidth="1"/>
    <col min="7" max="7" width="35.125" style="74" customWidth="1"/>
    <col min="8" max="8" width="14.625" style="16" bestFit="1" customWidth="1"/>
    <col min="9" max="9" width="2.875" style="4" customWidth="1"/>
    <col min="10" max="10" width="5" style="14" bestFit="1" customWidth="1"/>
    <col min="11" max="11" width="3.5" style="1" bestFit="1" customWidth="1"/>
    <col min="12" max="12" width="2.875" style="4" customWidth="1"/>
    <col min="13" max="13" width="6.125" style="16" bestFit="1" customWidth="1"/>
    <col min="14" max="14" width="3.5" style="1" bestFit="1" customWidth="1"/>
    <col min="15" max="15" width="4.375" style="4" bestFit="1" customWidth="1"/>
    <col min="16" max="16" width="14.625" style="160" bestFit="1" customWidth="1"/>
    <col min="17" max="17" width="7.75" style="1" bestFit="1" customWidth="1"/>
    <col min="18" max="18" width="15" style="1" bestFit="1" customWidth="1"/>
    <col min="19" max="19" width="12.625" style="1" bestFit="1" customWidth="1"/>
    <col min="20" max="20" width="14.25" style="1" bestFit="1" customWidth="1"/>
    <col min="21" max="22" width="9.25" style="1" bestFit="1" customWidth="1"/>
    <col min="23" max="24" width="12.125" style="1" bestFit="1" customWidth="1"/>
    <col min="25" max="16384" width="9" style="1"/>
  </cols>
  <sheetData>
    <row r="1" spans="1:17" ht="39.950000000000003" customHeight="1">
      <c r="A1" s="343" t="s">
        <v>342</v>
      </c>
      <c r="B1" s="343"/>
      <c r="C1" s="343"/>
      <c r="D1" s="343"/>
      <c r="E1" s="343"/>
      <c r="F1" s="343"/>
      <c r="G1" s="343"/>
      <c r="H1" s="343"/>
      <c r="I1" s="343"/>
      <c r="J1" s="344"/>
      <c r="K1" s="344"/>
      <c r="L1" s="344"/>
      <c r="M1" s="344"/>
      <c r="N1" s="344"/>
      <c r="O1" s="344"/>
      <c r="P1" s="344"/>
      <c r="Q1" s="344"/>
    </row>
    <row r="2" spans="1:17" ht="18" thickBot="1">
      <c r="A2" s="356" t="str">
        <f>예산총괄표!B2</f>
        <v xml:space="preserve">    고양사랑방요양원</v>
      </c>
      <c r="B2" s="356"/>
      <c r="C2" s="356"/>
      <c r="D2" s="23"/>
      <c r="E2" s="23"/>
      <c r="F2" s="23"/>
      <c r="G2" s="73"/>
      <c r="H2" s="24"/>
      <c r="I2" s="25"/>
      <c r="J2" s="23"/>
      <c r="K2" s="360" t="str">
        <f>예산총괄표!I2</f>
        <v xml:space="preserve">회계연도: 2022년 </v>
      </c>
      <c r="L2" s="360"/>
      <c r="M2" s="360"/>
      <c r="N2" s="360"/>
      <c r="O2" s="360"/>
      <c r="P2" s="360"/>
      <c r="Q2" s="22" t="s">
        <v>0</v>
      </c>
    </row>
    <row r="3" spans="1:17" ht="20.100000000000001" customHeight="1">
      <c r="A3" s="424" t="s">
        <v>10</v>
      </c>
      <c r="B3" s="346"/>
      <c r="C3" s="346"/>
      <c r="D3" s="347" t="s">
        <v>35</v>
      </c>
      <c r="E3" s="347" t="s">
        <v>36</v>
      </c>
      <c r="F3" s="349" t="s">
        <v>34</v>
      </c>
      <c r="G3" s="353" t="s">
        <v>288</v>
      </c>
      <c r="H3" s="354"/>
      <c r="I3" s="354"/>
      <c r="J3" s="354"/>
      <c r="K3" s="354"/>
      <c r="L3" s="354"/>
      <c r="M3" s="354"/>
      <c r="N3" s="354"/>
      <c r="O3" s="354"/>
      <c r="P3" s="355"/>
      <c r="Q3" s="351" t="s">
        <v>38</v>
      </c>
    </row>
    <row r="4" spans="1:17" ht="20.100000000000001" customHeight="1" thickBot="1">
      <c r="A4" s="9" t="s">
        <v>1</v>
      </c>
      <c r="B4" s="10" t="s">
        <v>2</v>
      </c>
      <c r="C4" s="10" t="s">
        <v>37</v>
      </c>
      <c r="D4" s="348"/>
      <c r="E4" s="348"/>
      <c r="F4" s="350"/>
      <c r="G4" s="150" t="s">
        <v>289</v>
      </c>
      <c r="H4" s="146" t="s">
        <v>180</v>
      </c>
      <c r="I4" s="357" t="s">
        <v>276</v>
      </c>
      <c r="J4" s="358"/>
      <c r="K4" s="358"/>
      <c r="L4" s="358"/>
      <c r="M4" s="358"/>
      <c r="N4" s="358"/>
      <c r="O4" s="359"/>
      <c r="P4" s="159" t="s">
        <v>182</v>
      </c>
      <c r="Q4" s="352"/>
    </row>
    <row r="5" spans="1:17" ht="20.100000000000001" customHeight="1" thickTop="1">
      <c r="A5" s="365" t="s">
        <v>148</v>
      </c>
      <c r="B5" s="366"/>
      <c r="C5" s="367"/>
      <c r="D5" s="75">
        <f>D6+D23+D27</f>
        <v>580508660</v>
      </c>
      <c r="E5" s="75">
        <f>E6+E23+E27</f>
        <v>597916163.0072</v>
      </c>
      <c r="F5" s="109">
        <f>E5-D5</f>
        <v>17407503.007200003</v>
      </c>
      <c r="G5" s="405"/>
      <c r="H5" s="406"/>
      <c r="I5" s="406"/>
      <c r="J5" s="406"/>
      <c r="K5" s="406"/>
      <c r="L5" s="406"/>
      <c r="M5" s="406"/>
      <c r="N5" s="406"/>
      <c r="O5" s="406"/>
      <c r="P5" s="407"/>
      <c r="Q5" s="20"/>
    </row>
    <row r="6" spans="1:17" ht="20.100000000000001" customHeight="1">
      <c r="A6" s="373"/>
      <c r="B6" s="418" t="s">
        <v>64</v>
      </c>
      <c r="C6" s="419"/>
      <c r="D6" s="76">
        <f>SUM(D7:D22)</f>
        <v>539468660</v>
      </c>
      <c r="E6" s="76">
        <f>SUM(E7:E22)</f>
        <v>543676163.0072</v>
      </c>
      <c r="F6" s="110">
        <f>E6-D6</f>
        <v>4207503.0072000027</v>
      </c>
      <c r="G6" s="402" t="s">
        <v>290</v>
      </c>
      <c r="H6" s="403"/>
      <c r="I6" s="403"/>
      <c r="J6" s="403"/>
      <c r="K6" s="403"/>
      <c r="L6" s="403"/>
      <c r="M6" s="403"/>
      <c r="N6" s="403"/>
      <c r="O6" s="403"/>
      <c r="P6" s="404"/>
      <c r="Q6" s="6"/>
    </row>
    <row r="7" spans="1:17" ht="20.100000000000001" customHeight="1">
      <c r="A7" s="373"/>
      <c r="B7" s="420"/>
      <c r="C7" s="370" t="s">
        <v>291</v>
      </c>
      <c r="D7" s="393">
        <v>440400000</v>
      </c>
      <c r="E7" s="396">
        <f>P7+P12</f>
        <v>461280000</v>
      </c>
      <c r="F7" s="399">
        <f>E7-D7</f>
        <v>20880000</v>
      </c>
      <c r="G7" s="157" t="s">
        <v>232</v>
      </c>
      <c r="H7" s="43"/>
      <c r="I7" s="43"/>
      <c r="J7" s="43"/>
      <c r="K7" s="43"/>
      <c r="L7" s="43"/>
      <c r="M7" s="43"/>
      <c r="N7" s="43"/>
      <c r="O7" s="43"/>
      <c r="P7" s="329">
        <f>SUM(P8:P11)</f>
        <v>399540000</v>
      </c>
      <c r="Q7" s="152"/>
    </row>
    <row r="8" spans="1:17" ht="20.100000000000001" customHeight="1">
      <c r="A8" s="373"/>
      <c r="B8" s="421"/>
      <c r="C8" s="371"/>
      <c r="D8" s="394"/>
      <c r="E8" s="397"/>
      <c r="F8" s="400"/>
      <c r="G8" s="80" t="s">
        <v>279</v>
      </c>
      <c r="H8" s="45">
        <f>AVERAGEIF(인건비산정!$C$4:$C$35,"사회복지사",인건비산정!$E$4:$E$35)</f>
        <v>2117500</v>
      </c>
      <c r="I8" s="46" t="s">
        <v>32</v>
      </c>
      <c r="J8" s="47">
        <f>COUNTIF(인건비산정!$C$4:$C$35,"사회복지사")</f>
        <v>2</v>
      </c>
      <c r="K8" s="151" t="s">
        <v>41</v>
      </c>
      <c r="L8" s="46" t="s">
        <v>32</v>
      </c>
      <c r="M8" s="45">
        <f>세입명세서!M7</f>
        <v>12</v>
      </c>
      <c r="N8" s="151" t="s">
        <v>6</v>
      </c>
      <c r="O8" s="46" t="s">
        <v>33</v>
      </c>
      <c r="P8" s="48">
        <f>H8*J8*M8</f>
        <v>50820000</v>
      </c>
      <c r="Q8" s="153"/>
    </row>
    <row r="9" spans="1:17" ht="20.100000000000001" customHeight="1">
      <c r="A9" s="373"/>
      <c r="B9" s="421"/>
      <c r="C9" s="371"/>
      <c r="D9" s="394"/>
      <c r="E9" s="397"/>
      <c r="F9" s="400"/>
      <c r="G9" s="80" t="s">
        <v>343</v>
      </c>
      <c r="H9" s="45">
        <f>AVERAGEIF(인건비산정!$C$4:$C$35,"간호조무사",인건비산정!$E$4:$E$35)</f>
        <v>2050000</v>
      </c>
      <c r="I9" s="46" t="s">
        <v>32</v>
      </c>
      <c r="J9" s="47">
        <f>COUNTIF(인건비산정!$C$4:$C$35,"간호조무사")</f>
        <v>1</v>
      </c>
      <c r="K9" s="151" t="s">
        <v>5</v>
      </c>
      <c r="L9" s="46" t="s">
        <v>32</v>
      </c>
      <c r="M9" s="45">
        <f>M8</f>
        <v>12</v>
      </c>
      <c r="N9" s="151" t="s">
        <v>6</v>
      </c>
      <c r="O9" s="46" t="s">
        <v>33</v>
      </c>
      <c r="P9" s="48">
        <f>H9*J9*M9</f>
        <v>24600000</v>
      </c>
      <c r="Q9" s="153"/>
    </row>
    <row r="10" spans="1:17" ht="20.100000000000001" customHeight="1">
      <c r="A10" s="373"/>
      <c r="B10" s="421"/>
      <c r="C10" s="371"/>
      <c r="D10" s="394"/>
      <c r="E10" s="397"/>
      <c r="F10" s="400"/>
      <c r="G10" s="80" t="s">
        <v>347</v>
      </c>
      <c r="H10" s="45">
        <v>0</v>
      </c>
      <c r="I10" s="46" t="s">
        <v>32</v>
      </c>
      <c r="J10" s="47">
        <f>COUNTIF(인건비산정!$C$4:$C$35,"물리치료사")</f>
        <v>0</v>
      </c>
      <c r="K10" s="151" t="s">
        <v>5</v>
      </c>
      <c r="L10" s="46" t="s">
        <v>32</v>
      </c>
      <c r="M10" s="45">
        <f>M9</f>
        <v>12</v>
      </c>
      <c r="N10" s="151" t="s">
        <v>344</v>
      </c>
      <c r="O10" s="46" t="s">
        <v>33</v>
      </c>
      <c r="P10" s="48">
        <f>H10*J10*M10</f>
        <v>0</v>
      </c>
      <c r="Q10" s="153"/>
    </row>
    <row r="11" spans="1:17" ht="20.100000000000001" customHeight="1">
      <c r="A11" s="373"/>
      <c r="B11" s="421"/>
      <c r="C11" s="371"/>
      <c r="D11" s="394"/>
      <c r="E11" s="397"/>
      <c r="F11" s="400"/>
      <c r="G11" s="80" t="s">
        <v>284</v>
      </c>
      <c r="H11" s="45">
        <f>AVERAGEIF(인건비산정!$C$4:$C$35,"요양보호사 1급",인건비산정!$E$4:$E$35)</f>
        <v>2077692.3076923077</v>
      </c>
      <c r="I11" s="46" t="s">
        <v>32</v>
      </c>
      <c r="J11" s="47">
        <f>COUNTIF(인건비산정!$C$4:$C$35,"요양보호사 1급")</f>
        <v>13</v>
      </c>
      <c r="K11" s="151" t="s">
        <v>5</v>
      </c>
      <c r="L11" s="46" t="s">
        <v>32</v>
      </c>
      <c r="M11" s="45">
        <f>M8</f>
        <v>12</v>
      </c>
      <c r="N11" s="151" t="s">
        <v>6</v>
      </c>
      <c r="O11" s="46" t="s">
        <v>33</v>
      </c>
      <c r="P11" s="48">
        <f t="shared" ref="P11:P16" si="0">H11*J11*M11</f>
        <v>324120000</v>
      </c>
      <c r="Q11" s="153"/>
    </row>
    <row r="12" spans="1:17" ht="20.100000000000001" customHeight="1">
      <c r="A12" s="373"/>
      <c r="B12" s="421"/>
      <c r="C12" s="371"/>
      <c r="D12" s="394"/>
      <c r="E12" s="397"/>
      <c r="F12" s="400"/>
      <c r="G12" s="158" t="s">
        <v>282</v>
      </c>
      <c r="H12" s="47"/>
      <c r="I12" s="47"/>
      <c r="J12" s="47"/>
      <c r="K12" s="47"/>
      <c r="L12" s="47"/>
      <c r="M12" s="47"/>
      <c r="N12" s="47"/>
      <c r="O12" s="47"/>
      <c r="P12" s="329">
        <f>SUM(P13:P16)</f>
        <v>61740000</v>
      </c>
      <c r="Q12" s="153"/>
    </row>
    <row r="13" spans="1:17" ht="20.100000000000001" customHeight="1">
      <c r="A13" s="373"/>
      <c r="B13" s="421"/>
      <c r="C13" s="371"/>
      <c r="D13" s="394"/>
      <c r="E13" s="397"/>
      <c r="F13" s="400"/>
      <c r="G13" s="80" t="s">
        <v>278</v>
      </c>
      <c r="H13" s="45">
        <f>AVERAGEIF(인건비산정!$C$4:$C$35,"시설장",인건비산정!$E$4:$E$35)</f>
        <v>3200000</v>
      </c>
      <c r="I13" s="46" t="s">
        <v>32</v>
      </c>
      <c r="J13" s="47">
        <f>COUNTIF(인건비산정!$C$4:$C$35,"시설장")</f>
        <v>1</v>
      </c>
      <c r="K13" s="151" t="s">
        <v>5</v>
      </c>
      <c r="L13" s="46" t="s">
        <v>32</v>
      </c>
      <c r="M13" s="45">
        <f>M8</f>
        <v>12</v>
      </c>
      <c r="N13" s="151" t="s">
        <v>6</v>
      </c>
      <c r="O13" s="46" t="s">
        <v>33</v>
      </c>
      <c r="P13" s="48">
        <f>H13*J13*M13</f>
        <v>38400000</v>
      </c>
      <c r="Q13" s="153"/>
    </row>
    <row r="14" spans="1:17" ht="20.100000000000001" customHeight="1">
      <c r="A14" s="373"/>
      <c r="B14" s="421"/>
      <c r="C14" s="371"/>
      <c r="D14" s="394"/>
      <c r="E14" s="397"/>
      <c r="F14" s="400"/>
      <c r="G14" s="80" t="s">
        <v>345</v>
      </c>
      <c r="H14" s="45">
        <v>0</v>
      </c>
      <c r="I14" s="46" t="s">
        <v>32</v>
      </c>
      <c r="J14" s="47">
        <f>COUNTIF(인건비산정!$C$4:$C$35,"영양사")</f>
        <v>0</v>
      </c>
      <c r="K14" s="151" t="s">
        <v>5</v>
      </c>
      <c r="L14" s="46" t="s">
        <v>32</v>
      </c>
      <c r="M14" s="45">
        <f>M9</f>
        <v>12</v>
      </c>
      <c r="N14" s="151" t="s">
        <v>6</v>
      </c>
      <c r="O14" s="46" t="s">
        <v>33</v>
      </c>
      <c r="P14" s="48">
        <f>H14*J14*M14</f>
        <v>0</v>
      </c>
      <c r="Q14" s="153"/>
    </row>
    <row r="15" spans="1:17" ht="20.100000000000001" customHeight="1">
      <c r="A15" s="373"/>
      <c r="B15" s="421"/>
      <c r="C15" s="371"/>
      <c r="D15" s="394"/>
      <c r="E15" s="397"/>
      <c r="F15" s="400"/>
      <c r="G15" s="80" t="s">
        <v>346</v>
      </c>
      <c r="H15" s="45">
        <v>0</v>
      </c>
      <c r="I15" s="46" t="s">
        <v>32</v>
      </c>
      <c r="J15" s="47">
        <f>COUNTIF(인건비산정!$C$4:$C$35,"위생원")</f>
        <v>0</v>
      </c>
      <c r="K15" s="151" t="s">
        <v>5</v>
      </c>
      <c r="L15" s="46" t="s">
        <v>32</v>
      </c>
      <c r="M15" s="45">
        <f>M9</f>
        <v>12</v>
      </c>
      <c r="N15" s="151" t="s">
        <v>6</v>
      </c>
      <c r="O15" s="46" t="s">
        <v>33</v>
      </c>
      <c r="P15" s="48">
        <f>H15*J15*M15</f>
        <v>0</v>
      </c>
      <c r="Q15" s="153"/>
    </row>
    <row r="16" spans="1:17" ht="20.100000000000001" customHeight="1">
      <c r="A16" s="373"/>
      <c r="B16" s="421"/>
      <c r="C16" s="371"/>
      <c r="D16" s="394"/>
      <c r="E16" s="397"/>
      <c r="F16" s="400"/>
      <c r="G16" s="80" t="s">
        <v>281</v>
      </c>
      <c r="H16" s="45">
        <f>AVERAGEIF(인건비산정!$C$4:$C$35,"조리원",인건비산정!$E$4:$E$35)</f>
        <v>1945000</v>
      </c>
      <c r="I16" s="46" t="s">
        <v>32</v>
      </c>
      <c r="J16" s="47">
        <f>COUNTIF(인건비산정!$C$4:$C$35,"조리원")</f>
        <v>1</v>
      </c>
      <c r="K16" s="151" t="s">
        <v>5</v>
      </c>
      <c r="L16" s="46" t="s">
        <v>32</v>
      </c>
      <c r="M16" s="45">
        <f>M8</f>
        <v>12</v>
      </c>
      <c r="N16" s="151" t="s">
        <v>6</v>
      </c>
      <c r="O16" s="46" t="s">
        <v>33</v>
      </c>
      <c r="P16" s="48">
        <f t="shared" si="0"/>
        <v>23340000</v>
      </c>
      <c r="Q16" s="153"/>
    </row>
    <row r="17" spans="1:17" ht="20.100000000000001" customHeight="1">
      <c r="A17" s="373"/>
      <c r="B17" s="421"/>
      <c r="C17" s="425" t="s">
        <v>46</v>
      </c>
      <c r="D17" s="410">
        <v>22800000</v>
      </c>
      <c r="E17" s="396">
        <f>SUM(P17:P18)</f>
        <v>0</v>
      </c>
      <c r="F17" s="399">
        <f t="shared" ref="F17:F75" si="1">E17-D17</f>
        <v>-22800000</v>
      </c>
      <c r="G17" s="157" t="s">
        <v>207</v>
      </c>
      <c r="H17" s="41">
        <f>AVERAGEIF(인건비산정!$D$4:$D$35,"직접비",인건비산정!$L$4:$L$35)</f>
        <v>0</v>
      </c>
      <c r="I17" s="42" t="s">
        <v>32</v>
      </c>
      <c r="J17" s="43">
        <f>COUNTIF(인건비산정!$D$4:$D$35,"직접비")</f>
        <v>16</v>
      </c>
      <c r="K17" s="154" t="s">
        <v>5</v>
      </c>
      <c r="L17" s="42" t="s">
        <v>32</v>
      </c>
      <c r="M17" s="41">
        <f>M8</f>
        <v>12</v>
      </c>
      <c r="N17" s="154" t="s">
        <v>6</v>
      </c>
      <c r="O17" s="42" t="s">
        <v>33</v>
      </c>
      <c r="P17" s="44">
        <f t="shared" ref="P17:P18" si="2">H17*J17*M17</f>
        <v>0</v>
      </c>
      <c r="Q17" s="30"/>
    </row>
    <row r="18" spans="1:17" ht="20.100000000000001" customHeight="1">
      <c r="A18" s="373"/>
      <c r="B18" s="421"/>
      <c r="C18" s="426"/>
      <c r="D18" s="411"/>
      <c r="E18" s="397"/>
      <c r="F18" s="400"/>
      <c r="G18" s="161" t="s">
        <v>208</v>
      </c>
      <c r="H18" s="49">
        <v>0</v>
      </c>
      <c r="I18" s="50" t="s">
        <v>32</v>
      </c>
      <c r="J18" s="155">
        <f>COUNTIF(인건비산정!$D$4:$D$35,"간접비")</f>
        <v>2</v>
      </c>
      <c r="K18" s="156" t="s">
        <v>41</v>
      </c>
      <c r="L18" s="50" t="s">
        <v>32</v>
      </c>
      <c r="M18" s="49">
        <f>M8</f>
        <v>12</v>
      </c>
      <c r="N18" s="156" t="s">
        <v>6</v>
      </c>
      <c r="O18" s="50" t="s">
        <v>33</v>
      </c>
      <c r="P18" s="51">
        <f t="shared" si="2"/>
        <v>0</v>
      </c>
      <c r="Q18" s="32"/>
    </row>
    <row r="19" spans="1:17" ht="20.100000000000001" customHeight="1">
      <c r="A19" s="374"/>
      <c r="B19" s="421"/>
      <c r="C19" s="425" t="s">
        <v>116</v>
      </c>
      <c r="D19" s="410">
        <v>33400000</v>
      </c>
      <c r="E19" s="396">
        <f>SUM(P19:P20)</f>
        <v>35240000</v>
      </c>
      <c r="F19" s="399">
        <f t="shared" si="1"/>
        <v>1840000</v>
      </c>
      <c r="G19" s="157" t="s">
        <v>207</v>
      </c>
      <c r="H19" s="41">
        <f>AVERAGEIF(인건비산정!$D$4:$D$35,"직접비",인건비산정!$N$4:$N$35)</f>
        <v>173411.45833333331</v>
      </c>
      <c r="I19" s="42" t="s">
        <v>32</v>
      </c>
      <c r="J19" s="43">
        <f>COUNTIF(인건비산정!$D$4:$D$35,"직접비")</f>
        <v>16</v>
      </c>
      <c r="K19" s="154" t="s">
        <v>5</v>
      </c>
      <c r="L19" s="42" t="s">
        <v>32</v>
      </c>
      <c r="M19" s="41">
        <f>$M$8</f>
        <v>12</v>
      </c>
      <c r="N19" s="154" t="s">
        <v>6</v>
      </c>
      <c r="O19" s="42" t="s">
        <v>33</v>
      </c>
      <c r="P19" s="327">
        <f t="shared" ref="P19:P22" si="3">H19*J19*M19</f>
        <v>33294999.999999996</v>
      </c>
      <c r="Q19" s="30"/>
    </row>
    <row r="20" spans="1:17" ht="20.100000000000001" customHeight="1">
      <c r="A20" s="374"/>
      <c r="B20" s="421"/>
      <c r="C20" s="428"/>
      <c r="D20" s="427"/>
      <c r="E20" s="398"/>
      <c r="F20" s="401"/>
      <c r="G20" s="161" t="s">
        <v>208</v>
      </c>
      <c r="H20" s="49">
        <f>AVERAGEIF(인건비산정!$D$4:$D$35,"간접비",인건비산정!$N$4:$N$35)</f>
        <v>162083.33333333334</v>
      </c>
      <c r="I20" s="50" t="s">
        <v>32</v>
      </c>
      <c r="J20" s="155">
        <v>1</v>
      </c>
      <c r="K20" s="156" t="s">
        <v>5</v>
      </c>
      <c r="L20" s="50" t="s">
        <v>32</v>
      </c>
      <c r="M20" s="49">
        <f>$M$8</f>
        <v>12</v>
      </c>
      <c r="N20" s="156" t="s">
        <v>6</v>
      </c>
      <c r="O20" s="50" t="s">
        <v>33</v>
      </c>
      <c r="P20" s="328">
        <f t="shared" si="3"/>
        <v>1945000</v>
      </c>
      <c r="Q20" s="32"/>
    </row>
    <row r="21" spans="1:17" ht="20.100000000000001" customHeight="1">
      <c r="A21" s="374"/>
      <c r="B21" s="421"/>
      <c r="C21" s="425" t="s">
        <v>47</v>
      </c>
      <c r="D21" s="410">
        <v>42868660</v>
      </c>
      <c r="E21" s="396">
        <f>SUM(P21:P22)</f>
        <v>47156163.007200018</v>
      </c>
      <c r="F21" s="399">
        <f>E21-D21</f>
        <v>4287503.0072000176</v>
      </c>
      <c r="G21" s="157" t="s">
        <v>207</v>
      </c>
      <c r="H21" s="41">
        <f>AVERAGEIF(인건비산정!$D$4:$D$35,"직접비",인건비산정!$T$4:$T$35)</f>
        <v>216207.42891718759</v>
      </c>
      <c r="I21" s="42" t="s">
        <v>32</v>
      </c>
      <c r="J21" s="43">
        <f>COUNTIF(인건비산정!$D$4:$D$35,"직접비")</f>
        <v>16</v>
      </c>
      <c r="K21" s="154" t="s">
        <v>5</v>
      </c>
      <c r="L21" s="42" t="s">
        <v>32</v>
      </c>
      <c r="M21" s="41">
        <f>$M$8</f>
        <v>12</v>
      </c>
      <c r="N21" s="154" t="s">
        <v>6</v>
      </c>
      <c r="O21" s="42" t="s">
        <v>33</v>
      </c>
      <c r="P21" s="327">
        <f t="shared" si="3"/>
        <v>41511826.352100015</v>
      </c>
      <c r="Q21" s="30"/>
    </row>
    <row r="22" spans="1:17" ht="20.100000000000001" customHeight="1">
      <c r="A22" s="374"/>
      <c r="B22" s="421"/>
      <c r="C22" s="426"/>
      <c r="D22" s="411"/>
      <c r="E22" s="397"/>
      <c r="F22" s="400"/>
      <c r="G22" s="161" t="s">
        <v>208</v>
      </c>
      <c r="H22" s="49">
        <f>AVERAGEIF(인건비산정!$D$4:$D$35,"간접비",인건비산정!$T$4:$T$35)</f>
        <v>235180.69396249999</v>
      </c>
      <c r="I22" s="50" t="s">
        <v>32</v>
      </c>
      <c r="J22" s="155">
        <f>COUNTIF(인건비산정!$D$4:$D$35,"간접비")</f>
        <v>2</v>
      </c>
      <c r="K22" s="156" t="s">
        <v>5</v>
      </c>
      <c r="L22" s="50" t="s">
        <v>32</v>
      </c>
      <c r="M22" s="49">
        <f>$M$8</f>
        <v>12</v>
      </c>
      <c r="N22" s="156" t="s">
        <v>6</v>
      </c>
      <c r="O22" s="50" t="s">
        <v>33</v>
      </c>
      <c r="P22" s="328">
        <f t="shared" si="3"/>
        <v>5644336.6551000001</v>
      </c>
      <c r="Q22" s="32"/>
    </row>
    <row r="23" spans="1:17" ht="20.100000000000001" customHeight="1">
      <c r="A23" s="374"/>
      <c r="B23" s="361" t="s">
        <v>65</v>
      </c>
      <c r="C23" s="362"/>
      <c r="D23" s="76">
        <f>SUM(D24:D26)</f>
        <v>720000</v>
      </c>
      <c r="E23" s="76">
        <f>SUM(E24:E26)</f>
        <v>1440000</v>
      </c>
      <c r="F23" s="110">
        <f t="shared" si="1"/>
        <v>720000</v>
      </c>
      <c r="G23" s="402"/>
      <c r="H23" s="403"/>
      <c r="I23" s="403"/>
      <c r="J23" s="403"/>
      <c r="K23" s="403"/>
      <c r="L23" s="403"/>
      <c r="M23" s="403"/>
      <c r="N23" s="403"/>
      <c r="O23" s="403"/>
      <c r="P23" s="404"/>
      <c r="Q23" s="17"/>
    </row>
    <row r="24" spans="1:17" ht="20.100000000000001" customHeight="1">
      <c r="A24" s="374"/>
      <c r="B24" s="368"/>
      <c r="C24" s="246" t="s">
        <v>66</v>
      </c>
      <c r="D24" s="247">
        <v>600000</v>
      </c>
      <c r="E24" s="77">
        <f>P24</f>
        <v>1200000</v>
      </c>
      <c r="F24" s="110"/>
      <c r="G24" s="235" t="s">
        <v>341</v>
      </c>
      <c r="H24" s="38">
        <v>100000</v>
      </c>
      <c r="I24" s="244" t="s">
        <v>32</v>
      </c>
      <c r="J24" s="39"/>
      <c r="K24" s="112"/>
      <c r="L24" s="244"/>
      <c r="M24" s="38">
        <f>$M$8</f>
        <v>12</v>
      </c>
      <c r="N24" s="112" t="s">
        <v>6</v>
      </c>
      <c r="O24" s="244" t="s">
        <v>43</v>
      </c>
      <c r="P24" s="40">
        <f>H24*M24</f>
        <v>1200000</v>
      </c>
      <c r="Q24" s="17"/>
    </row>
    <row r="25" spans="1:17" ht="20.100000000000001" customHeight="1">
      <c r="A25" s="374"/>
      <c r="B25" s="369"/>
      <c r="C25" s="246" t="s">
        <v>67</v>
      </c>
      <c r="D25" s="247">
        <v>0</v>
      </c>
      <c r="E25" s="77">
        <f t="shared" ref="E25:E26" si="4">P25</f>
        <v>0</v>
      </c>
      <c r="F25" s="110"/>
      <c r="G25" s="235" t="s">
        <v>292</v>
      </c>
      <c r="H25" s="38">
        <v>0</v>
      </c>
      <c r="I25" s="244" t="s">
        <v>32</v>
      </c>
      <c r="J25" s="39"/>
      <c r="K25" s="112"/>
      <c r="L25" s="244"/>
      <c r="M25" s="38">
        <f>$M$8</f>
        <v>12</v>
      </c>
      <c r="N25" s="112" t="s">
        <v>6</v>
      </c>
      <c r="O25" s="244" t="s">
        <v>43</v>
      </c>
      <c r="P25" s="40">
        <f t="shared" ref="P25" si="5">H25*J25*M25</f>
        <v>0</v>
      </c>
      <c r="Q25" s="17"/>
    </row>
    <row r="26" spans="1:17" ht="20.100000000000001" customHeight="1">
      <c r="A26" s="374"/>
      <c r="B26" s="416"/>
      <c r="C26" s="246" t="s">
        <v>68</v>
      </c>
      <c r="D26" s="247">
        <v>120000</v>
      </c>
      <c r="E26" s="77">
        <f t="shared" si="4"/>
        <v>240000</v>
      </c>
      <c r="F26" s="110"/>
      <c r="G26" s="235" t="s">
        <v>293</v>
      </c>
      <c r="H26" s="38">
        <v>20000</v>
      </c>
      <c r="I26" s="244" t="s">
        <v>32</v>
      </c>
      <c r="J26" s="39"/>
      <c r="K26" s="112"/>
      <c r="L26" s="244"/>
      <c r="M26" s="38">
        <f>$M$8</f>
        <v>12</v>
      </c>
      <c r="N26" s="112" t="s">
        <v>6</v>
      </c>
      <c r="O26" s="244" t="s">
        <v>43</v>
      </c>
      <c r="P26" s="40">
        <f>H26*M26</f>
        <v>240000</v>
      </c>
      <c r="Q26" s="17"/>
    </row>
    <row r="27" spans="1:17" ht="20.100000000000001" customHeight="1">
      <c r="A27" s="374"/>
      <c r="B27" s="361" t="s">
        <v>69</v>
      </c>
      <c r="C27" s="362"/>
      <c r="D27" s="76">
        <f>SUM(D28:D39)</f>
        <v>40320000</v>
      </c>
      <c r="E27" s="76">
        <f>SUM(E28:E38)</f>
        <v>52800000</v>
      </c>
      <c r="F27" s="110">
        <f t="shared" si="1"/>
        <v>12480000</v>
      </c>
      <c r="G27" s="402"/>
      <c r="H27" s="403"/>
      <c r="I27" s="403"/>
      <c r="J27" s="403"/>
      <c r="K27" s="403"/>
      <c r="L27" s="403"/>
      <c r="M27" s="403"/>
      <c r="N27" s="403"/>
      <c r="O27" s="403"/>
      <c r="P27" s="404"/>
      <c r="Q27" s="17"/>
    </row>
    <row r="28" spans="1:17" ht="20.100000000000001" customHeight="1">
      <c r="A28" s="374"/>
      <c r="B28" s="368"/>
      <c r="C28" s="246" t="s">
        <v>70</v>
      </c>
      <c r="D28" s="247">
        <v>120000</v>
      </c>
      <c r="E28" s="77">
        <f>P28</f>
        <v>600000</v>
      </c>
      <c r="F28" s="110">
        <f t="shared" si="1"/>
        <v>480000</v>
      </c>
      <c r="G28" s="235" t="s">
        <v>294</v>
      </c>
      <c r="H28" s="38">
        <v>50000</v>
      </c>
      <c r="I28" s="244" t="s">
        <v>32</v>
      </c>
      <c r="J28" s="39"/>
      <c r="K28" s="112"/>
      <c r="L28" s="244"/>
      <c r="M28" s="38">
        <f>$M$8</f>
        <v>12</v>
      </c>
      <c r="N28" s="112" t="s">
        <v>6</v>
      </c>
      <c r="O28" s="244" t="s">
        <v>43</v>
      </c>
      <c r="P28" s="40">
        <f t="shared" ref="P28:P39" si="6">H28*M28</f>
        <v>600000</v>
      </c>
      <c r="Q28" s="17"/>
    </row>
    <row r="29" spans="1:17" ht="20.100000000000001" customHeight="1">
      <c r="A29" s="374"/>
      <c r="B29" s="369"/>
      <c r="C29" s="430" t="s">
        <v>119</v>
      </c>
      <c r="D29" s="410">
        <v>10800000</v>
      </c>
      <c r="E29" s="396">
        <f>SUM(P29:P31)</f>
        <v>26400000</v>
      </c>
      <c r="F29" s="399">
        <f t="shared" si="1"/>
        <v>15600000</v>
      </c>
      <c r="G29" s="236" t="s">
        <v>295</v>
      </c>
      <c r="H29" s="41">
        <v>1000000</v>
      </c>
      <c r="I29" s="42" t="s">
        <v>32</v>
      </c>
      <c r="J29" s="43"/>
      <c r="K29" s="154"/>
      <c r="L29" s="42"/>
      <c r="M29" s="41">
        <f>$M$8</f>
        <v>12</v>
      </c>
      <c r="N29" s="154" t="s">
        <v>6</v>
      </c>
      <c r="O29" s="42" t="s">
        <v>43</v>
      </c>
      <c r="P29" s="44">
        <f t="shared" si="6"/>
        <v>12000000</v>
      </c>
      <c r="Q29" s="17"/>
    </row>
    <row r="30" spans="1:17" ht="20.100000000000001" customHeight="1">
      <c r="A30" s="374"/>
      <c r="B30" s="369"/>
      <c r="C30" s="431"/>
      <c r="D30" s="411"/>
      <c r="E30" s="397"/>
      <c r="F30" s="400"/>
      <c r="G30" s="237" t="s">
        <v>296</v>
      </c>
      <c r="H30" s="45">
        <v>500000</v>
      </c>
      <c r="I30" s="46" t="s">
        <v>32</v>
      </c>
      <c r="J30" s="47"/>
      <c r="K30" s="151"/>
      <c r="L30" s="46"/>
      <c r="M30" s="45">
        <f>$M$8</f>
        <v>12</v>
      </c>
      <c r="N30" s="151" t="s">
        <v>6</v>
      </c>
      <c r="O30" s="46" t="s">
        <v>33</v>
      </c>
      <c r="P30" s="48">
        <f t="shared" ref="P30:P31" si="7">H30*M30</f>
        <v>6000000</v>
      </c>
      <c r="Q30" s="17"/>
    </row>
    <row r="31" spans="1:17" ht="20.100000000000001" customHeight="1">
      <c r="A31" s="374"/>
      <c r="B31" s="369"/>
      <c r="C31" s="432"/>
      <c r="D31" s="427"/>
      <c r="E31" s="398"/>
      <c r="F31" s="401"/>
      <c r="G31" s="238" t="s">
        <v>297</v>
      </c>
      <c r="H31" s="49">
        <v>700000</v>
      </c>
      <c r="I31" s="50" t="s">
        <v>32</v>
      </c>
      <c r="J31" s="155"/>
      <c r="K31" s="156"/>
      <c r="L31" s="50"/>
      <c r="M31" s="49">
        <f>$M$8</f>
        <v>12</v>
      </c>
      <c r="N31" s="156" t="s">
        <v>6</v>
      </c>
      <c r="O31" s="50" t="s">
        <v>33</v>
      </c>
      <c r="P31" s="51">
        <f t="shared" si="7"/>
        <v>8400000</v>
      </c>
      <c r="Q31" s="17"/>
    </row>
    <row r="32" spans="1:17" ht="20.100000000000001" customHeight="1">
      <c r="A32" s="374"/>
      <c r="B32" s="369"/>
      <c r="C32" s="430" t="s">
        <v>120</v>
      </c>
      <c r="D32" s="410">
        <v>27600000</v>
      </c>
      <c r="E32" s="396">
        <f>SUM(P32:P34)</f>
        <v>24000000</v>
      </c>
      <c r="F32" s="399">
        <f t="shared" si="1"/>
        <v>-3600000</v>
      </c>
      <c r="G32" s="236" t="s">
        <v>298</v>
      </c>
      <c r="H32" s="41">
        <v>500000</v>
      </c>
      <c r="I32" s="42" t="s">
        <v>32</v>
      </c>
      <c r="J32" s="43"/>
      <c r="K32" s="154"/>
      <c r="L32" s="42"/>
      <c r="M32" s="41">
        <f>$M$8</f>
        <v>12</v>
      </c>
      <c r="N32" s="154" t="s">
        <v>6</v>
      </c>
      <c r="O32" s="42" t="s">
        <v>43</v>
      </c>
      <c r="P32" s="44">
        <f t="shared" si="6"/>
        <v>6000000</v>
      </c>
      <c r="Q32" s="17"/>
    </row>
    <row r="33" spans="1:18" ht="20.100000000000001" customHeight="1">
      <c r="A33" s="374"/>
      <c r="B33" s="369"/>
      <c r="C33" s="431"/>
      <c r="D33" s="411"/>
      <c r="E33" s="397"/>
      <c r="F33" s="400"/>
      <c r="G33" s="237" t="s">
        <v>299</v>
      </c>
      <c r="H33" s="45">
        <v>1000000</v>
      </c>
      <c r="I33" s="46" t="s">
        <v>32</v>
      </c>
      <c r="J33" s="47"/>
      <c r="K33" s="151"/>
      <c r="L33" s="46"/>
      <c r="M33" s="45">
        <f t="shared" ref="M33:M34" si="8">$M$8</f>
        <v>12</v>
      </c>
      <c r="N33" s="151" t="s">
        <v>6</v>
      </c>
      <c r="O33" s="46" t="s">
        <v>33</v>
      </c>
      <c r="P33" s="48">
        <f t="shared" ref="P33:P34" si="9">H33*M33</f>
        <v>12000000</v>
      </c>
      <c r="Q33" s="17"/>
    </row>
    <row r="34" spans="1:18" ht="20.100000000000001" customHeight="1">
      <c r="A34" s="374"/>
      <c r="B34" s="369"/>
      <c r="C34" s="432"/>
      <c r="D34" s="427"/>
      <c r="E34" s="398"/>
      <c r="F34" s="401"/>
      <c r="G34" s="238" t="s">
        <v>300</v>
      </c>
      <c r="H34" s="49">
        <v>500000</v>
      </c>
      <c r="I34" s="50" t="s">
        <v>32</v>
      </c>
      <c r="J34" s="155"/>
      <c r="K34" s="156"/>
      <c r="L34" s="50"/>
      <c r="M34" s="49">
        <f t="shared" si="8"/>
        <v>12</v>
      </c>
      <c r="N34" s="156" t="s">
        <v>6</v>
      </c>
      <c r="O34" s="50" t="s">
        <v>33</v>
      </c>
      <c r="P34" s="51">
        <f t="shared" si="9"/>
        <v>6000000</v>
      </c>
      <c r="Q34" s="17"/>
    </row>
    <row r="35" spans="1:18" ht="20.100000000000001" customHeight="1">
      <c r="A35" s="374"/>
      <c r="B35" s="369"/>
      <c r="C35" s="430" t="s">
        <v>71</v>
      </c>
      <c r="D35" s="410">
        <v>0</v>
      </c>
      <c r="E35" s="396">
        <f>SUM(P35:P36)</f>
        <v>0</v>
      </c>
      <c r="F35" s="399">
        <f t="shared" si="1"/>
        <v>0</v>
      </c>
      <c r="G35" s="236" t="s">
        <v>301</v>
      </c>
      <c r="H35" s="41">
        <v>0</v>
      </c>
      <c r="I35" s="42" t="s">
        <v>32</v>
      </c>
      <c r="J35" s="43"/>
      <c r="K35" s="154"/>
      <c r="L35" s="42"/>
      <c r="M35" s="41">
        <f>$M$8</f>
        <v>12</v>
      </c>
      <c r="N35" s="154" t="s">
        <v>6</v>
      </c>
      <c r="O35" s="42" t="s">
        <v>43</v>
      </c>
      <c r="P35" s="44">
        <f t="shared" si="6"/>
        <v>0</v>
      </c>
      <c r="Q35" s="17"/>
    </row>
    <row r="36" spans="1:18" ht="20.100000000000001" customHeight="1">
      <c r="A36" s="374"/>
      <c r="B36" s="369"/>
      <c r="C36" s="432"/>
      <c r="D36" s="427"/>
      <c r="E36" s="398"/>
      <c r="F36" s="401"/>
      <c r="G36" s="238" t="s">
        <v>302</v>
      </c>
      <c r="H36" s="49">
        <v>0</v>
      </c>
      <c r="I36" s="50" t="s">
        <v>32</v>
      </c>
      <c r="J36" s="155"/>
      <c r="K36" s="156"/>
      <c r="L36" s="50"/>
      <c r="M36" s="49">
        <f>$M$8</f>
        <v>12</v>
      </c>
      <c r="N36" s="156" t="s">
        <v>6</v>
      </c>
      <c r="O36" s="50" t="s">
        <v>33</v>
      </c>
      <c r="P36" s="51">
        <f t="shared" ref="P36" si="10">H36*M36</f>
        <v>0</v>
      </c>
      <c r="Q36" s="17"/>
    </row>
    <row r="37" spans="1:18" ht="20.100000000000001" customHeight="1">
      <c r="A37" s="374"/>
      <c r="B37" s="369"/>
      <c r="C37" s="246" t="s">
        <v>72</v>
      </c>
      <c r="D37" s="283"/>
      <c r="E37" s="243">
        <f t="shared" ref="E37" si="11">P37</f>
        <v>0</v>
      </c>
      <c r="F37" s="167">
        <f t="shared" si="1"/>
        <v>0</v>
      </c>
      <c r="G37" s="235" t="s">
        <v>305</v>
      </c>
      <c r="H37" s="38"/>
      <c r="I37" s="244" t="s">
        <v>32</v>
      </c>
      <c r="J37" s="39"/>
      <c r="K37" s="112"/>
      <c r="L37" s="244"/>
      <c r="M37" s="38">
        <f>$M$8</f>
        <v>12</v>
      </c>
      <c r="N37" s="112" t="s">
        <v>6</v>
      </c>
      <c r="O37" s="244" t="s">
        <v>43</v>
      </c>
      <c r="P37" s="40">
        <f t="shared" si="6"/>
        <v>0</v>
      </c>
      <c r="Q37" s="17"/>
    </row>
    <row r="38" spans="1:18" ht="20.100000000000001" customHeight="1">
      <c r="A38" s="374"/>
      <c r="B38" s="369"/>
      <c r="C38" s="430" t="s">
        <v>73</v>
      </c>
      <c r="D38" s="410">
        <v>1800000</v>
      </c>
      <c r="E38" s="396">
        <f>SUM(P38:P39)</f>
        <v>1800000</v>
      </c>
      <c r="F38" s="399">
        <f>E38-D39</f>
        <v>1800000</v>
      </c>
      <c r="G38" s="236" t="s">
        <v>303</v>
      </c>
      <c r="H38" s="41">
        <v>100000</v>
      </c>
      <c r="I38" s="42" t="s">
        <v>32</v>
      </c>
      <c r="J38" s="43"/>
      <c r="K38" s="154"/>
      <c r="L38" s="42"/>
      <c r="M38" s="41">
        <f>$M$8</f>
        <v>12</v>
      </c>
      <c r="N38" s="154" t="s">
        <v>6</v>
      </c>
      <c r="O38" s="42" t="s">
        <v>33</v>
      </c>
      <c r="P38" s="44">
        <f t="shared" ref="P38" si="12">H38*M38</f>
        <v>1200000</v>
      </c>
      <c r="Q38" s="17"/>
    </row>
    <row r="39" spans="1:18" ht="20.100000000000001" customHeight="1" thickBot="1">
      <c r="A39" s="374"/>
      <c r="B39" s="415"/>
      <c r="C39" s="433"/>
      <c r="D39" s="434"/>
      <c r="E39" s="435"/>
      <c r="F39" s="429"/>
      <c r="G39" s="239" t="s">
        <v>304</v>
      </c>
      <c r="H39" s="165">
        <v>50000</v>
      </c>
      <c r="I39" s="162" t="s">
        <v>32</v>
      </c>
      <c r="J39" s="163"/>
      <c r="K39" s="164"/>
      <c r="L39" s="162"/>
      <c r="M39" s="165">
        <f>$M$8</f>
        <v>12</v>
      </c>
      <c r="N39" s="164" t="s">
        <v>6</v>
      </c>
      <c r="O39" s="162" t="s">
        <v>43</v>
      </c>
      <c r="P39" s="166">
        <f t="shared" si="6"/>
        <v>600000</v>
      </c>
      <c r="Q39" s="17"/>
    </row>
    <row r="40" spans="1:18" ht="20.100000000000001" customHeight="1">
      <c r="A40" s="377" t="s">
        <v>75</v>
      </c>
      <c r="B40" s="378"/>
      <c r="C40" s="379"/>
      <c r="D40" s="78">
        <f>D41</f>
        <v>24000000</v>
      </c>
      <c r="E40" s="78">
        <f>E41</f>
        <v>9600000</v>
      </c>
      <c r="F40" s="115">
        <f t="shared" si="1"/>
        <v>-14400000</v>
      </c>
      <c r="G40" s="412"/>
      <c r="H40" s="413"/>
      <c r="I40" s="413"/>
      <c r="J40" s="413"/>
      <c r="K40" s="413"/>
      <c r="L40" s="413"/>
      <c r="M40" s="413"/>
      <c r="N40" s="413"/>
      <c r="O40" s="413"/>
      <c r="P40" s="414"/>
      <c r="Q40" s="18"/>
    </row>
    <row r="41" spans="1:18" ht="20.100000000000001" customHeight="1">
      <c r="A41" s="391"/>
      <c r="B41" s="361" t="s">
        <v>77</v>
      </c>
      <c r="C41" s="362"/>
      <c r="D41" s="76">
        <f>SUM(D42:D44)</f>
        <v>24000000</v>
      </c>
      <c r="E41" s="76">
        <f>SUM(E42:E44)</f>
        <v>9600000</v>
      </c>
      <c r="F41" s="110">
        <f t="shared" si="1"/>
        <v>-14400000</v>
      </c>
      <c r="G41" s="402"/>
      <c r="H41" s="403"/>
      <c r="I41" s="403"/>
      <c r="J41" s="403"/>
      <c r="K41" s="403"/>
      <c r="L41" s="403"/>
      <c r="M41" s="403"/>
      <c r="N41" s="403"/>
      <c r="O41" s="403"/>
      <c r="P41" s="404"/>
      <c r="Q41" s="7"/>
    </row>
    <row r="42" spans="1:18" ht="20.100000000000001" customHeight="1">
      <c r="A42" s="417"/>
      <c r="B42" s="368"/>
      <c r="C42" s="26" t="s">
        <v>78</v>
      </c>
      <c r="D42" s="247">
        <v>6000000</v>
      </c>
      <c r="E42" s="77">
        <f>P42</f>
        <v>1200000</v>
      </c>
      <c r="F42" s="110">
        <f t="shared" si="1"/>
        <v>-4800000</v>
      </c>
      <c r="G42" s="235" t="s">
        <v>306</v>
      </c>
      <c r="H42" s="38">
        <v>100000</v>
      </c>
      <c r="I42" s="244" t="s">
        <v>32</v>
      </c>
      <c r="J42" s="39"/>
      <c r="K42" s="112"/>
      <c r="L42" s="244"/>
      <c r="M42" s="38">
        <f>$M$8</f>
        <v>12</v>
      </c>
      <c r="N42" s="112" t="s">
        <v>6</v>
      </c>
      <c r="O42" s="244" t="s">
        <v>43</v>
      </c>
      <c r="P42" s="40">
        <f>H42*M42</f>
        <v>1200000</v>
      </c>
      <c r="Q42" s="17"/>
    </row>
    <row r="43" spans="1:18" ht="20.100000000000001" customHeight="1">
      <c r="A43" s="417"/>
      <c r="B43" s="369"/>
      <c r="C43" s="26" t="s">
        <v>79</v>
      </c>
      <c r="D43" s="247">
        <v>12000000</v>
      </c>
      <c r="E43" s="77">
        <f t="shared" ref="E43:E44" si="13">P43</f>
        <v>4800000</v>
      </c>
      <c r="F43" s="110">
        <f t="shared" si="1"/>
        <v>-7200000</v>
      </c>
      <c r="G43" s="235" t="s">
        <v>307</v>
      </c>
      <c r="H43" s="38">
        <v>400000</v>
      </c>
      <c r="I43" s="244" t="s">
        <v>32</v>
      </c>
      <c r="J43" s="39"/>
      <c r="K43" s="112"/>
      <c r="L43" s="244"/>
      <c r="M43" s="38">
        <f>$M$8</f>
        <v>12</v>
      </c>
      <c r="N43" s="112" t="s">
        <v>6</v>
      </c>
      <c r="O43" s="244" t="s">
        <v>43</v>
      </c>
      <c r="P43" s="40">
        <f>H43*M43</f>
        <v>4800000</v>
      </c>
      <c r="Q43" s="17"/>
    </row>
    <row r="44" spans="1:18" ht="20.100000000000001" customHeight="1" thickBot="1">
      <c r="A44" s="417"/>
      <c r="B44" s="415"/>
      <c r="C44" s="26" t="s">
        <v>80</v>
      </c>
      <c r="D44" s="247">
        <v>6000000</v>
      </c>
      <c r="E44" s="77">
        <f t="shared" si="13"/>
        <v>3600000</v>
      </c>
      <c r="F44" s="110">
        <f t="shared" si="1"/>
        <v>-2400000</v>
      </c>
      <c r="G44" s="235" t="s">
        <v>308</v>
      </c>
      <c r="H44" s="38">
        <v>300000</v>
      </c>
      <c r="I44" s="244" t="s">
        <v>32</v>
      </c>
      <c r="J44" s="39"/>
      <c r="K44" s="112"/>
      <c r="L44" s="244"/>
      <c r="M44" s="38">
        <f>$M$8</f>
        <v>12</v>
      </c>
      <c r="N44" s="112" t="s">
        <v>6</v>
      </c>
      <c r="O44" s="244" t="s">
        <v>43</v>
      </c>
      <c r="P44" s="40">
        <f>H44*M44</f>
        <v>3600000</v>
      </c>
      <c r="Q44" s="17"/>
    </row>
    <row r="45" spans="1:18" ht="20.100000000000001" customHeight="1">
      <c r="A45" s="377" t="s">
        <v>81</v>
      </c>
      <c r="B45" s="378"/>
      <c r="C45" s="379"/>
      <c r="D45" s="78">
        <f>D46+D51</f>
        <v>107916000</v>
      </c>
      <c r="E45" s="78">
        <f>E46+E51</f>
        <v>141282000</v>
      </c>
      <c r="F45" s="115">
        <f t="shared" si="1"/>
        <v>33366000</v>
      </c>
      <c r="G45" s="412"/>
      <c r="H45" s="413"/>
      <c r="I45" s="413"/>
      <c r="J45" s="413"/>
      <c r="K45" s="413"/>
      <c r="L45" s="413"/>
      <c r="M45" s="413"/>
      <c r="N45" s="413"/>
      <c r="O45" s="413"/>
      <c r="P45" s="414"/>
      <c r="Q45" s="18"/>
    </row>
    <row r="46" spans="1:18" ht="20.100000000000001" customHeight="1">
      <c r="A46" s="391"/>
      <c r="B46" s="361" t="s">
        <v>82</v>
      </c>
      <c r="C46" s="362"/>
      <c r="D46" s="76">
        <f>SUM(D47:D50)</f>
        <v>105516000</v>
      </c>
      <c r="E46" s="76">
        <f>SUM(E47:E50)</f>
        <v>138882000</v>
      </c>
      <c r="F46" s="110">
        <f t="shared" si="1"/>
        <v>33366000</v>
      </c>
      <c r="G46" s="402"/>
      <c r="H46" s="403"/>
      <c r="I46" s="403"/>
      <c r="J46" s="403"/>
      <c r="K46" s="403"/>
      <c r="L46" s="403"/>
      <c r="M46" s="403"/>
      <c r="N46" s="403"/>
      <c r="O46" s="403"/>
      <c r="P46" s="404"/>
      <c r="Q46" s="7"/>
    </row>
    <row r="47" spans="1:18" ht="20.100000000000001" customHeight="1">
      <c r="A47" s="417"/>
      <c r="B47" s="368"/>
      <c r="C47" s="26" t="s">
        <v>83</v>
      </c>
      <c r="D47" s="247">
        <v>79596000</v>
      </c>
      <c r="E47" s="77">
        <f>P47</f>
        <v>110142000</v>
      </c>
      <c r="F47" s="110">
        <f t="shared" si="1"/>
        <v>30546000</v>
      </c>
      <c r="G47" s="112" t="s">
        <v>309</v>
      </c>
      <c r="H47" s="38">
        <f>SUM(세입명세서!E10,세입명세서!E22,세입명세서!E56)/M47</f>
        <v>9178500</v>
      </c>
      <c r="I47" s="244" t="s">
        <v>32</v>
      </c>
      <c r="J47" s="39"/>
      <c r="K47" s="112"/>
      <c r="L47" s="244"/>
      <c r="M47" s="38">
        <f>$M$8</f>
        <v>12</v>
      </c>
      <c r="N47" s="112" t="s">
        <v>6</v>
      </c>
      <c r="O47" s="244" t="s">
        <v>43</v>
      </c>
      <c r="P47" s="40">
        <f>H47*M47</f>
        <v>110142000</v>
      </c>
      <c r="Q47" s="17"/>
      <c r="R47" s="3"/>
    </row>
    <row r="48" spans="1:18" ht="20.100000000000001" customHeight="1">
      <c r="A48" s="417"/>
      <c r="B48" s="369"/>
      <c r="C48" s="26" t="s">
        <v>84</v>
      </c>
      <c r="D48" s="247">
        <v>12000000</v>
      </c>
      <c r="E48" s="77">
        <f t="shared" ref="E48:E50" si="14">P48</f>
        <v>9600000</v>
      </c>
      <c r="F48" s="110">
        <f t="shared" si="1"/>
        <v>-2400000</v>
      </c>
      <c r="G48" s="112" t="s">
        <v>310</v>
      </c>
      <c r="H48" s="38">
        <v>800000</v>
      </c>
      <c r="I48" s="244" t="s">
        <v>32</v>
      </c>
      <c r="J48" s="39"/>
      <c r="K48" s="112"/>
      <c r="L48" s="244"/>
      <c r="M48" s="38">
        <f>$M$8</f>
        <v>12</v>
      </c>
      <c r="N48" s="112" t="s">
        <v>6</v>
      </c>
      <c r="O48" s="244" t="s">
        <v>43</v>
      </c>
      <c r="P48" s="40">
        <f t="shared" ref="P48:P50" si="15">H48*M48</f>
        <v>9600000</v>
      </c>
      <c r="Q48" s="17"/>
    </row>
    <row r="49" spans="1:18" ht="20.100000000000001" customHeight="1">
      <c r="A49" s="417"/>
      <c r="B49" s="369"/>
      <c r="C49" s="26" t="s">
        <v>85</v>
      </c>
      <c r="D49" s="247">
        <v>13920000</v>
      </c>
      <c r="E49" s="77">
        <f t="shared" si="14"/>
        <v>19140000</v>
      </c>
      <c r="F49" s="110">
        <f t="shared" si="1"/>
        <v>5220000</v>
      </c>
      <c r="G49" s="112" t="s">
        <v>311</v>
      </c>
      <c r="H49" s="38">
        <f>세입명세서!E13/M49</f>
        <v>1595000</v>
      </c>
      <c r="I49" s="244" t="s">
        <v>32</v>
      </c>
      <c r="J49" s="39"/>
      <c r="K49" s="112"/>
      <c r="L49" s="244"/>
      <c r="M49" s="38">
        <f>$M$8</f>
        <v>12</v>
      </c>
      <c r="N49" s="112" t="s">
        <v>6</v>
      </c>
      <c r="O49" s="244" t="s">
        <v>43</v>
      </c>
      <c r="P49" s="40">
        <f t="shared" si="15"/>
        <v>19140000</v>
      </c>
      <c r="Q49" s="17"/>
    </row>
    <row r="50" spans="1:18" ht="20.100000000000001" customHeight="1">
      <c r="A50" s="417"/>
      <c r="B50" s="369"/>
      <c r="C50" s="26" t="s">
        <v>86</v>
      </c>
      <c r="D50" s="247"/>
      <c r="E50" s="77">
        <f t="shared" si="14"/>
        <v>0</v>
      </c>
      <c r="F50" s="110">
        <f t="shared" si="1"/>
        <v>0</v>
      </c>
      <c r="G50" s="112" t="s">
        <v>312</v>
      </c>
      <c r="H50" s="38"/>
      <c r="I50" s="244" t="s">
        <v>32</v>
      </c>
      <c r="J50" s="39"/>
      <c r="K50" s="112"/>
      <c r="L50" s="244"/>
      <c r="M50" s="38">
        <f>$M$8</f>
        <v>12</v>
      </c>
      <c r="N50" s="112" t="s">
        <v>6</v>
      </c>
      <c r="O50" s="244" t="s">
        <v>43</v>
      </c>
      <c r="P50" s="40">
        <f t="shared" si="15"/>
        <v>0</v>
      </c>
      <c r="Q50" s="17"/>
    </row>
    <row r="51" spans="1:18" ht="20.100000000000001" customHeight="1">
      <c r="A51" s="417"/>
      <c r="B51" s="422" t="s">
        <v>235</v>
      </c>
      <c r="C51" s="423"/>
      <c r="D51" s="77">
        <f>D52</f>
        <v>2400000</v>
      </c>
      <c r="E51" s="77">
        <f>E52</f>
        <v>2400000</v>
      </c>
      <c r="F51" s="110">
        <f t="shared" si="1"/>
        <v>0</v>
      </c>
      <c r="G51" s="402"/>
      <c r="H51" s="403"/>
      <c r="I51" s="403"/>
      <c r="J51" s="403"/>
      <c r="K51" s="403"/>
      <c r="L51" s="403"/>
      <c r="M51" s="403"/>
      <c r="N51" s="403"/>
      <c r="O51" s="403"/>
      <c r="P51" s="404"/>
      <c r="Q51" s="17"/>
    </row>
    <row r="52" spans="1:18" ht="20.100000000000001" customHeight="1" thickBot="1">
      <c r="A52" s="417"/>
      <c r="B52" s="11"/>
      <c r="C52" s="131" t="s">
        <v>87</v>
      </c>
      <c r="D52" s="247">
        <v>2400000</v>
      </c>
      <c r="E52" s="77">
        <f>P52</f>
        <v>2400000</v>
      </c>
      <c r="F52" s="110">
        <f t="shared" si="1"/>
        <v>0</v>
      </c>
      <c r="G52" s="112" t="s">
        <v>313</v>
      </c>
      <c r="H52" s="38">
        <v>200000</v>
      </c>
      <c r="I52" s="244" t="s">
        <v>32</v>
      </c>
      <c r="J52" s="39"/>
      <c r="K52" s="112"/>
      <c r="L52" s="244"/>
      <c r="M52" s="38">
        <f>$M$8</f>
        <v>12</v>
      </c>
      <c r="N52" s="112" t="s">
        <v>6</v>
      </c>
      <c r="O52" s="244" t="s">
        <v>43</v>
      </c>
      <c r="P52" s="40">
        <f>H52*M52</f>
        <v>2400000</v>
      </c>
      <c r="Q52" s="17"/>
    </row>
    <row r="53" spans="1:18" ht="20.100000000000001" customHeight="1">
      <c r="A53" s="377" t="s">
        <v>88</v>
      </c>
      <c r="B53" s="378"/>
      <c r="C53" s="379"/>
      <c r="D53" s="78">
        <f>D54</f>
        <v>120000000</v>
      </c>
      <c r="E53" s="78">
        <f>E54</f>
        <v>180000000</v>
      </c>
      <c r="F53" s="115">
        <f t="shared" si="1"/>
        <v>60000000</v>
      </c>
      <c r="G53" s="412"/>
      <c r="H53" s="413"/>
      <c r="I53" s="413"/>
      <c r="J53" s="413"/>
      <c r="K53" s="413"/>
      <c r="L53" s="413"/>
      <c r="M53" s="413"/>
      <c r="N53" s="413"/>
      <c r="O53" s="413"/>
      <c r="P53" s="414"/>
      <c r="Q53" s="18"/>
    </row>
    <row r="54" spans="1:18" ht="20.100000000000001" customHeight="1">
      <c r="A54" s="391"/>
      <c r="B54" s="361" t="s">
        <v>89</v>
      </c>
      <c r="C54" s="362"/>
      <c r="D54" s="76">
        <f>D55+D56</f>
        <v>120000000</v>
      </c>
      <c r="E54" s="76">
        <f>E55+E56</f>
        <v>180000000</v>
      </c>
      <c r="F54" s="110">
        <f t="shared" si="1"/>
        <v>60000000</v>
      </c>
      <c r="G54" s="402"/>
      <c r="H54" s="403"/>
      <c r="I54" s="403"/>
      <c r="J54" s="403"/>
      <c r="K54" s="403"/>
      <c r="L54" s="403"/>
      <c r="M54" s="403"/>
      <c r="N54" s="403"/>
      <c r="O54" s="403"/>
      <c r="P54" s="404"/>
      <c r="Q54" s="7"/>
    </row>
    <row r="55" spans="1:18" ht="20.100000000000001" customHeight="1">
      <c r="A55" s="391"/>
      <c r="B55" s="368"/>
      <c r="C55" s="170" t="s">
        <v>165</v>
      </c>
      <c r="D55" s="132">
        <v>0</v>
      </c>
      <c r="E55" s="76">
        <f>P55</f>
        <v>0</v>
      </c>
      <c r="F55" s="110">
        <f t="shared" si="1"/>
        <v>0</v>
      </c>
      <c r="G55" s="111"/>
      <c r="H55" s="38"/>
      <c r="I55" s="172" t="s">
        <v>42</v>
      </c>
      <c r="J55" s="39"/>
      <c r="K55" s="112"/>
      <c r="L55" s="172"/>
      <c r="M55" s="38">
        <f>$M$8</f>
        <v>12</v>
      </c>
      <c r="N55" s="112" t="s">
        <v>181</v>
      </c>
      <c r="O55" s="172" t="s">
        <v>43</v>
      </c>
      <c r="P55" s="40">
        <f>H55*M55</f>
        <v>0</v>
      </c>
      <c r="Q55" s="7"/>
    </row>
    <row r="56" spans="1:18" ht="20.100000000000001" customHeight="1" thickBot="1">
      <c r="A56" s="391"/>
      <c r="B56" s="415"/>
      <c r="C56" s="5" t="s">
        <v>90</v>
      </c>
      <c r="D56" s="132">
        <v>120000000</v>
      </c>
      <c r="E56" s="76">
        <f>P56</f>
        <v>180000000</v>
      </c>
      <c r="F56" s="110">
        <f t="shared" si="1"/>
        <v>60000000</v>
      </c>
      <c r="G56" s="111"/>
      <c r="H56" s="38">
        <v>15000000</v>
      </c>
      <c r="I56" s="244" t="s">
        <v>42</v>
      </c>
      <c r="J56" s="39"/>
      <c r="K56" s="112"/>
      <c r="L56" s="244"/>
      <c r="M56" s="38">
        <f>$M$8</f>
        <v>12</v>
      </c>
      <c r="N56" s="112" t="s">
        <v>44</v>
      </c>
      <c r="O56" s="244" t="s">
        <v>43</v>
      </c>
      <c r="P56" s="40">
        <f>H56*M56</f>
        <v>180000000</v>
      </c>
      <c r="Q56" s="7"/>
    </row>
    <row r="57" spans="1:18" ht="20.100000000000001" customHeight="1">
      <c r="A57" s="377" t="s">
        <v>91</v>
      </c>
      <c r="B57" s="378"/>
      <c r="C57" s="379"/>
      <c r="D57" s="78">
        <f>D58</f>
        <v>0</v>
      </c>
      <c r="E57" s="78">
        <f>E58</f>
        <v>0</v>
      </c>
      <c r="F57" s="115">
        <f t="shared" si="1"/>
        <v>0</v>
      </c>
      <c r="G57" s="412"/>
      <c r="H57" s="413"/>
      <c r="I57" s="413"/>
      <c r="J57" s="413"/>
      <c r="K57" s="413"/>
      <c r="L57" s="413"/>
      <c r="M57" s="413"/>
      <c r="N57" s="413"/>
      <c r="O57" s="413"/>
      <c r="P57" s="414"/>
      <c r="Q57" s="18"/>
    </row>
    <row r="58" spans="1:18" ht="20.100000000000001" customHeight="1">
      <c r="A58" s="380"/>
      <c r="B58" s="361" t="s">
        <v>92</v>
      </c>
      <c r="C58" s="362"/>
      <c r="D58" s="76">
        <f>D59</f>
        <v>0</v>
      </c>
      <c r="E58" s="76">
        <f>E59</f>
        <v>0</v>
      </c>
      <c r="F58" s="110">
        <f t="shared" si="1"/>
        <v>0</v>
      </c>
      <c r="G58" s="402"/>
      <c r="H58" s="403"/>
      <c r="I58" s="403"/>
      <c r="J58" s="403"/>
      <c r="K58" s="403"/>
      <c r="L58" s="403"/>
      <c r="M58" s="403"/>
      <c r="N58" s="403"/>
      <c r="O58" s="403"/>
      <c r="P58" s="404"/>
      <c r="Q58" s="7"/>
    </row>
    <row r="59" spans="1:18" ht="20.100000000000001" customHeight="1" thickBot="1">
      <c r="A59" s="381"/>
      <c r="B59" s="171"/>
      <c r="C59" s="8" t="s">
        <v>93</v>
      </c>
      <c r="D59" s="133"/>
      <c r="E59" s="116">
        <f>P59</f>
        <v>0</v>
      </c>
      <c r="F59" s="117">
        <f t="shared" si="1"/>
        <v>0</v>
      </c>
      <c r="G59" s="113"/>
      <c r="H59" s="57">
        <v>0</v>
      </c>
      <c r="I59" s="58" t="s">
        <v>42</v>
      </c>
      <c r="J59" s="59"/>
      <c r="K59" s="114"/>
      <c r="L59" s="58"/>
      <c r="M59" s="57">
        <f>$M$8</f>
        <v>12</v>
      </c>
      <c r="N59" s="114" t="s">
        <v>44</v>
      </c>
      <c r="O59" s="58" t="s">
        <v>43</v>
      </c>
      <c r="P59" s="60">
        <f>H59*M59</f>
        <v>0</v>
      </c>
      <c r="Q59" s="12"/>
    </row>
    <row r="60" spans="1:18" ht="20.100000000000001" customHeight="1">
      <c r="A60" s="365" t="s">
        <v>94</v>
      </c>
      <c r="B60" s="366"/>
      <c r="C60" s="367"/>
      <c r="D60" s="75">
        <f>D61</f>
        <v>60000000</v>
      </c>
      <c r="E60" s="75">
        <f>E61</f>
        <v>0</v>
      </c>
      <c r="F60" s="109">
        <f t="shared" si="1"/>
        <v>-60000000</v>
      </c>
      <c r="G60" s="412"/>
      <c r="H60" s="413"/>
      <c r="I60" s="413"/>
      <c r="J60" s="413"/>
      <c r="K60" s="413"/>
      <c r="L60" s="413"/>
      <c r="M60" s="413"/>
      <c r="N60" s="413"/>
      <c r="O60" s="413"/>
      <c r="P60" s="414"/>
      <c r="Q60" s="19"/>
    </row>
    <row r="61" spans="1:18" ht="20.100000000000001" customHeight="1">
      <c r="A61" s="380"/>
      <c r="B61" s="361" t="s">
        <v>96</v>
      </c>
      <c r="C61" s="362"/>
      <c r="D61" s="76">
        <f>D62+D63</f>
        <v>60000000</v>
      </c>
      <c r="E61" s="76">
        <f>E62+E63</f>
        <v>0</v>
      </c>
      <c r="F61" s="110">
        <f t="shared" si="1"/>
        <v>-60000000</v>
      </c>
      <c r="G61" s="402"/>
      <c r="H61" s="403"/>
      <c r="I61" s="403"/>
      <c r="J61" s="403"/>
      <c r="K61" s="403"/>
      <c r="L61" s="403"/>
      <c r="M61" s="403"/>
      <c r="N61" s="403"/>
      <c r="O61" s="403"/>
      <c r="P61" s="404"/>
      <c r="Q61" s="7"/>
    </row>
    <row r="62" spans="1:18" ht="20.100000000000001" customHeight="1">
      <c r="A62" s="380"/>
      <c r="B62" s="363"/>
      <c r="C62" s="5" t="s">
        <v>97</v>
      </c>
      <c r="D62" s="132">
        <v>24000000</v>
      </c>
      <c r="E62" s="76">
        <f>P62</f>
        <v>0</v>
      </c>
      <c r="F62" s="110">
        <f t="shared" si="1"/>
        <v>-24000000</v>
      </c>
      <c r="G62" s="70">
        <f>세입명세서!G39</f>
        <v>0</v>
      </c>
      <c r="H62" s="112">
        <f>세입명세서!H39+세입명세서!H40*0</f>
        <v>0</v>
      </c>
      <c r="I62" s="244" t="s">
        <v>32</v>
      </c>
      <c r="J62" s="39"/>
      <c r="K62" s="112"/>
      <c r="L62" s="244"/>
      <c r="M62" s="38">
        <f>M8</f>
        <v>12</v>
      </c>
      <c r="N62" s="112" t="s">
        <v>164</v>
      </c>
      <c r="O62" s="244" t="s">
        <v>43</v>
      </c>
      <c r="P62" s="40">
        <f>H62*M62</f>
        <v>0</v>
      </c>
      <c r="Q62" s="7"/>
    </row>
    <row r="63" spans="1:18" ht="20.100000000000001" customHeight="1" thickBot="1">
      <c r="A63" s="382"/>
      <c r="B63" s="368"/>
      <c r="C63" s="245" t="s">
        <v>98</v>
      </c>
      <c r="D63" s="247">
        <v>36000000</v>
      </c>
      <c r="E63" s="77">
        <f>P63</f>
        <v>0</v>
      </c>
      <c r="F63" s="118">
        <f t="shared" ref="F63" si="16">E63-D63</f>
        <v>-36000000</v>
      </c>
      <c r="G63" s="70">
        <f>세입명세서!G40</f>
        <v>0</v>
      </c>
      <c r="H63" s="112">
        <f>세입명세서!E40/세출명세서!M63</f>
        <v>0</v>
      </c>
      <c r="I63" s="244" t="s">
        <v>32</v>
      </c>
      <c r="J63" s="39"/>
      <c r="K63" s="112"/>
      <c r="L63" s="244"/>
      <c r="M63" s="38">
        <f>$M$8</f>
        <v>12</v>
      </c>
      <c r="N63" s="112" t="s">
        <v>6</v>
      </c>
      <c r="O63" s="244" t="s">
        <v>43</v>
      </c>
      <c r="P63" s="40">
        <f>H63*M63</f>
        <v>0</v>
      </c>
      <c r="Q63" s="17"/>
      <c r="R63" s="3"/>
    </row>
    <row r="64" spans="1:18" ht="20.100000000000001" customHeight="1">
      <c r="A64" s="377" t="s">
        <v>100</v>
      </c>
      <c r="B64" s="378"/>
      <c r="C64" s="379"/>
      <c r="D64" s="78">
        <f>D65</f>
        <v>575340</v>
      </c>
      <c r="E64" s="78">
        <f>E65</f>
        <v>0</v>
      </c>
      <c r="F64" s="115">
        <f t="shared" si="1"/>
        <v>-575340</v>
      </c>
      <c r="G64" s="412"/>
      <c r="H64" s="413"/>
      <c r="I64" s="413"/>
      <c r="J64" s="413"/>
      <c r="K64" s="413"/>
      <c r="L64" s="413"/>
      <c r="M64" s="413"/>
      <c r="N64" s="413"/>
      <c r="O64" s="413"/>
      <c r="P64" s="414"/>
      <c r="Q64" s="18"/>
    </row>
    <row r="65" spans="1:19" ht="20.100000000000001" customHeight="1">
      <c r="A65" s="380"/>
      <c r="B65" s="361" t="s">
        <v>102</v>
      </c>
      <c r="C65" s="362"/>
      <c r="D65" s="76">
        <f>D66</f>
        <v>575340</v>
      </c>
      <c r="E65" s="76">
        <f>E66</f>
        <v>0</v>
      </c>
      <c r="F65" s="110">
        <f t="shared" si="1"/>
        <v>-575340</v>
      </c>
      <c r="G65" s="402"/>
      <c r="H65" s="403"/>
      <c r="I65" s="403"/>
      <c r="J65" s="403"/>
      <c r="K65" s="403"/>
      <c r="L65" s="403"/>
      <c r="M65" s="403"/>
      <c r="N65" s="403"/>
      <c r="O65" s="403"/>
      <c r="P65" s="404"/>
      <c r="Q65" s="7"/>
    </row>
    <row r="66" spans="1:19" ht="20.100000000000001" customHeight="1" thickBot="1">
      <c r="A66" s="382"/>
      <c r="B66" s="242"/>
      <c r="C66" s="245" t="s">
        <v>103</v>
      </c>
      <c r="D66" s="247">
        <v>575340</v>
      </c>
      <c r="E66" s="77">
        <f>P66</f>
        <v>0</v>
      </c>
      <c r="F66" s="118">
        <f t="shared" si="1"/>
        <v>-575340</v>
      </c>
      <c r="G66" s="119"/>
      <c r="H66" s="69">
        <v>0</v>
      </c>
      <c r="I66" s="65" t="s">
        <v>42</v>
      </c>
      <c r="J66" s="66"/>
      <c r="K66" s="120"/>
      <c r="L66" s="65"/>
      <c r="M66" s="69">
        <v>1</v>
      </c>
      <c r="N66" s="121" t="s">
        <v>233</v>
      </c>
      <c r="O66" s="65" t="s">
        <v>43</v>
      </c>
      <c r="P66" s="122">
        <f>H66*M66</f>
        <v>0</v>
      </c>
      <c r="Q66" s="17"/>
    </row>
    <row r="67" spans="1:19" ht="20.100000000000001" customHeight="1">
      <c r="A67" s="377" t="s">
        <v>118</v>
      </c>
      <c r="B67" s="378"/>
      <c r="C67" s="379"/>
      <c r="D67" s="78">
        <f>D68</f>
        <v>0</v>
      </c>
      <c r="E67" s="78">
        <f>E68</f>
        <v>0</v>
      </c>
      <c r="F67" s="115">
        <f t="shared" si="1"/>
        <v>0</v>
      </c>
      <c r="G67" s="412"/>
      <c r="H67" s="413"/>
      <c r="I67" s="413"/>
      <c r="J67" s="413"/>
      <c r="K67" s="413"/>
      <c r="L67" s="413"/>
      <c r="M67" s="413"/>
      <c r="N67" s="413"/>
      <c r="O67" s="413"/>
      <c r="P67" s="414"/>
      <c r="Q67" s="18"/>
    </row>
    <row r="68" spans="1:19" ht="20.100000000000001" customHeight="1">
      <c r="A68" s="380"/>
      <c r="B68" s="361" t="s">
        <v>122</v>
      </c>
      <c r="C68" s="362"/>
      <c r="D68" s="76">
        <f>D69+D70</f>
        <v>0</v>
      </c>
      <c r="E68" s="76">
        <f>E69+E70</f>
        <v>0</v>
      </c>
      <c r="F68" s="110">
        <f t="shared" si="1"/>
        <v>0</v>
      </c>
      <c r="G68" s="402"/>
      <c r="H68" s="403"/>
      <c r="I68" s="403"/>
      <c r="J68" s="403"/>
      <c r="K68" s="403"/>
      <c r="L68" s="403"/>
      <c r="M68" s="403"/>
      <c r="N68" s="403"/>
      <c r="O68" s="403"/>
      <c r="P68" s="404"/>
      <c r="Q68" s="7"/>
    </row>
    <row r="69" spans="1:19" ht="20.100000000000001" customHeight="1">
      <c r="A69" s="380"/>
      <c r="B69" s="363"/>
      <c r="C69" s="5" t="s">
        <v>104</v>
      </c>
      <c r="D69" s="132">
        <v>0</v>
      </c>
      <c r="E69" s="76">
        <f>P69</f>
        <v>0</v>
      </c>
      <c r="F69" s="110">
        <f t="shared" si="1"/>
        <v>0</v>
      </c>
      <c r="G69" s="111"/>
      <c r="H69" s="38">
        <v>0</v>
      </c>
      <c r="I69" s="244" t="s">
        <v>42</v>
      </c>
      <c r="J69" s="39"/>
      <c r="K69" s="123"/>
      <c r="L69" s="244"/>
      <c r="M69" s="38">
        <v>1</v>
      </c>
      <c r="N69" s="112" t="s">
        <v>233</v>
      </c>
      <c r="O69" s="244" t="s">
        <v>43</v>
      </c>
      <c r="P69" s="40">
        <f>H69*M69</f>
        <v>0</v>
      </c>
      <c r="Q69" s="7"/>
    </row>
    <row r="70" spans="1:19" ht="20.100000000000001" customHeight="1" thickBot="1">
      <c r="A70" s="380"/>
      <c r="B70" s="363"/>
      <c r="C70" s="5" t="s">
        <v>105</v>
      </c>
      <c r="D70" s="132"/>
      <c r="E70" s="76">
        <f t="shared" ref="E70" si="17">P70</f>
        <v>0</v>
      </c>
      <c r="F70" s="110">
        <f t="shared" si="1"/>
        <v>0</v>
      </c>
      <c r="G70" s="111"/>
      <c r="H70" s="38"/>
      <c r="I70" s="244" t="s">
        <v>42</v>
      </c>
      <c r="J70" s="39"/>
      <c r="K70" s="123"/>
      <c r="L70" s="244"/>
      <c r="M70" s="38">
        <f>$M$8</f>
        <v>12</v>
      </c>
      <c r="N70" s="112" t="s">
        <v>6</v>
      </c>
      <c r="O70" s="244" t="s">
        <v>43</v>
      </c>
      <c r="P70" s="40">
        <f>H70*M70</f>
        <v>0</v>
      </c>
      <c r="Q70" s="7"/>
    </row>
    <row r="71" spans="1:19" ht="20.100000000000001" customHeight="1">
      <c r="A71" s="383" t="s">
        <v>124</v>
      </c>
      <c r="B71" s="384"/>
      <c r="C71" s="384"/>
      <c r="D71" s="78">
        <f>D72</f>
        <v>0</v>
      </c>
      <c r="E71" s="78">
        <f>E72</f>
        <v>0</v>
      </c>
      <c r="F71" s="115">
        <f t="shared" si="1"/>
        <v>0</v>
      </c>
      <c r="G71" s="412"/>
      <c r="H71" s="413"/>
      <c r="I71" s="413"/>
      <c r="J71" s="413"/>
      <c r="K71" s="413"/>
      <c r="L71" s="413"/>
      <c r="M71" s="413"/>
      <c r="N71" s="413"/>
      <c r="O71" s="413"/>
      <c r="P71" s="414"/>
      <c r="Q71" s="18"/>
    </row>
    <row r="72" spans="1:19" ht="20.100000000000001" customHeight="1">
      <c r="A72" s="373"/>
      <c r="B72" s="361" t="s">
        <v>107</v>
      </c>
      <c r="C72" s="362"/>
      <c r="D72" s="76">
        <f>D73+D74</f>
        <v>0</v>
      </c>
      <c r="E72" s="76">
        <f>E73+E74</f>
        <v>0</v>
      </c>
      <c r="F72" s="110">
        <f t="shared" si="1"/>
        <v>0</v>
      </c>
      <c r="G72" s="402"/>
      <c r="H72" s="403"/>
      <c r="I72" s="403"/>
      <c r="J72" s="403"/>
      <c r="K72" s="403"/>
      <c r="L72" s="403"/>
      <c r="M72" s="403"/>
      <c r="N72" s="403"/>
      <c r="O72" s="403"/>
      <c r="P72" s="404"/>
      <c r="Q72" s="7"/>
    </row>
    <row r="73" spans="1:19" ht="20.100000000000001" customHeight="1">
      <c r="A73" s="373"/>
      <c r="B73" s="375"/>
      <c r="C73" s="5" t="s">
        <v>108</v>
      </c>
      <c r="D73" s="132">
        <v>0</v>
      </c>
      <c r="E73" s="76">
        <f>P73</f>
        <v>0</v>
      </c>
      <c r="F73" s="110">
        <f t="shared" si="1"/>
        <v>0</v>
      </c>
      <c r="G73" s="111"/>
      <c r="H73" s="38">
        <v>0</v>
      </c>
      <c r="I73" s="244" t="s">
        <v>42</v>
      </c>
      <c r="J73" s="39"/>
      <c r="K73" s="123"/>
      <c r="L73" s="244"/>
      <c r="M73" s="38">
        <f>$M$8</f>
        <v>12</v>
      </c>
      <c r="N73" s="112" t="s">
        <v>6</v>
      </c>
      <c r="O73" s="244" t="s">
        <v>43</v>
      </c>
      <c r="P73" s="40">
        <f>H73*M73</f>
        <v>0</v>
      </c>
      <c r="Q73" s="7"/>
    </row>
    <row r="74" spans="1:19" ht="20.100000000000001" customHeight="1" thickBot="1">
      <c r="A74" s="385"/>
      <c r="B74" s="386"/>
      <c r="C74" s="8" t="s">
        <v>109</v>
      </c>
      <c r="D74" s="108">
        <v>0</v>
      </c>
      <c r="E74" s="53">
        <f>P74</f>
        <v>0</v>
      </c>
      <c r="F74" s="54">
        <f t="shared" si="1"/>
        <v>0</v>
      </c>
      <c r="G74" s="113"/>
      <c r="H74" s="57">
        <v>0</v>
      </c>
      <c r="I74" s="58" t="s">
        <v>42</v>
      </c>
      <c r="J74" s="59"/>
      <c r="K74" s="124"/>
      <c r="L74" s="58"/>
      <c r="M74" s="57">
        <f>$M$8</f>
        <v>12</v>
      </c>
      <c r="N74" s="114" t="s">
        <v>6</v>
      </c>
      <c r="O74" s="58" t="s">
        <v>43</v>
      </c>
      <c r="P74" s="60">
        <f>H74*M74</f>
        <v>0</v>
      </c>
      <c r="Q74" s="12"/>
    </row>
    <row r="75" spans="1:19" ht="20.100000000000001" customHeight="1">
      <c r="A75" s="383" t="s">
        <v>111</v>
      </c>
      <c r="B75" s="384"/>
      <c r="C75" s="384"/>
      <c r="D75" s="55">
        <f>D76</f>
        <v>0</v>
      </c>
      <c r="E75" s="55">
        <f>E76</f>
        <v>0</v>
      </c>
      <c r="F75" s="56">
        <f t="shared" si="1"/>
        <v>0</v>
      </c>
      <c r="G75" s="412"/>
      <c r="H75" s="413"/>
      <c r="I75" s="413"/>
      <c r="J75" s="413"/>
      <c r="K75" s="413"/>
      <c r="L75" s="413"/>
      <c r="M75" s="413"/>
      <c r="N75" s="413"/>
      <c r="O75" s="413"/>
      <c r="P75" s="414"/>
      <c r="Q75" s="18"/>
    </row>
    <row r="76" spans="1:19" ht="20.100000000000001" customHeight="1">
      <c r="A76" s="373"/>
      <c r="B76" s="361" t="s">
        <v>113</v>
      </c>
      <c r="C76" s="362"/>
      <c r="D76" s="36">
        <f>D77+D78</f>
        <v>0</v>
      </c>
      <c r="E76" s="36">
        <f>E77+E78</f>
        <v>0</v>
      </c>
      <c r="F76" s="37">
        <f t="shared" ref="F76:F78" si="18">E76-D76</f>
        <v>0</v>
      </c>
      <c r="G76" s="402"/>
      <c r="H76" s="403"/>
      <c r="I76" s="403"/>
      <c r="J76" s="403"/>
      <c r="K76" s="403"/>
      <c r="L76" s="403"/>
      <c r="M76" s="403"/>
      <c r="N76" s="403"/>
      <c r="O76" s="403"/>
      <c r="P76" s="404"/>
      <c r="Q76" s="7"/>
    </row>
    <row r="77" spans="1:19" ht="20.100000000000001" customHeight="1">
      <c r="A77" s="373"/>
      <c r="B77" s="375"/>
      <c r="C77" s="5" t="s">
        <v>114</v>
      </c>
      <c r="D77" s="128"/>
      <c r="E77" s="36">
        <f>P77</f>
        <v>0</v>
      </c>
      <c r="F77" s="37">
        <f t="shared" si="18"/>
        <v>0</v>
      </c>
      <c r="G77" s="111"/>
      <c r="H77" s="38">
        <v>0</v>
      </c>
      <c r="I77" s="172" t="s">
        <v>42</v>
      </c>
      <c r="J77" s="39"/>
      <c r="K77" s="123"/>
      <c r="L77" s="172"/>
      <c r="M77" s="38">
        <f>$M$8</f>
        <v>12</v>
      </c>
      <c r="N77" s="112" t="s">
        <v>6</v>
      </c>
      <c r="O77" s="172" t="s">
        <v>43</v>
      </c>
      <c r="P77" s="40">
        <f>H77*M77</f>
        <v>0</v>
      </c>
      <c r="Q77" s="7"/>
    </row>
    <row r="78" spans="1:19" ht="20.100000000000001" customHeight="1" thickBot="1">
      <c r="A78" s="385"/>
      <c r="B78" s="386"/>
      <c r="C78" s="8" t="s">
        <v>115</v>
      </c>
      <c r="D78" s="108">
        <v>0</v>
      </c>
      <c r="E78" s="53">
        <f>P78</f>
        <v>0</v>
      </c>
      <c r="F78" s="54">
        <f t="shared" si="18"/>
        <v>0</v>
      </c>
      <c r="G78" s="113"/>
      <c r="H78" s="57">
        <v>0</v>
      </c>
      <c r="I78" s="58" t="s">
        <v>42</v>
      </c>
      <c r="J78" s="59"/>
      <c r="K78" s="124"/>
      <c r="L78" s="58"/>
      <c r="M78" s="57">
        <f>$M$8</f>
        <v>12</v>
      </c>
      <c r="N78" s="114" t="s">
        <v>6</v>
      </c>
      <c r="O78" s="58" t="s">
        <v>43</v>
      </c>
      <c r="P78" s="60">
        <f>H78*M78</f>
        <v>0</v>
      </c>
      <c r="Q78" s="12"/>
      <c r="R78" s="2" t="s">
        <v>7</v>
      </c>
      <c r="S78" s="1" t="s">
        <v>8</v>
      </c>
    </row>
    <row r="79" spans="1:19" ht="20.100000000000001" customHeight="1" thickBot="1">
      <c r="A79" s="389" t="s">
        <v>153</v>
      </c>
      <c r="B79" s="390"/>
      <c r="C79" s="390"/>
      <c r="D79" s="273">
        <f>D5+D40+D45+D53+D57+D60+D64+D67+D71+D75</f>
        <v>893000000</v>
      </c>
      <c r="E79" s="273">
        <f>E5+E40+E45+E53+E57+E60+E64+E67+E71+E75</f>
        <v>928798163.0072</v>
      </c>
      <c r="F79" s="274">
        <f>E79-D79</f>
        <v>35798163.007200003</v>
      </c>
      <c r="G79" s="281"/>
      <c r="H79" s="276"/>
      <c r="I79" s="277"/>
      <c r="J79" s="278"/>
      <c r="K79" s="282"/>
      <c r="L79" s="277"/>
      <c r="M79" s="276"/>
      <c r="N79" s="282"/>
      <c r="O79" s="277"/>
      <c r="P79" s="279"/>
      <c r="Q79" s="280"/>
      <c r="R79" s="3" t="s">
        <v>9</v>
      </c>
      <c r="S79" s="1" t="s">
        <v>8</v>
      </c>
    </row>
    <row r="81" spans="4:16" s="270" customFormat="1">
      <c r="D81" s="265"/>
      <c r="E81" s="265">
        <f>세입명세서!E63</f>
        <v>928798163.0072</v>
      </c>
      <c r="F81" s="265"/>
      <c r="G81" s="266"/>
      <c r="H81" s="267"/>
      <c r="I81" s="268"/>
      <c r="J81" s="269"/>
      <c r="L81" s="268"/>
      <c r="M81" s="267"/>
      <c r="O81" s="268"/>
      <c r="P81" s="271"/>
    </row>
    <row r="82" spans="4:16" s="270" customFormat="1">
      <c r="D82" s="265"/>
      <c r="E82" s="265">
        <f>E81-E79</f>
        <v>0</v>
      </c>
      <c r="F82" s="265"/>
      <c r="G82" s="266"/>
      <c r="H82" s="267"/>
      <c r="I82" s="268"/>
      <c r="J82" s="269"/>
      <c r="L82" s="268"/>
      <c r="M82" s="267"/>
      <c r="O82" s="268"/>
      <c r="P82" s="271"/>
    </row>
    <row r="83" spans="4:16" s="270" customFormat="1">
      <c r="D83" s="265"/>
      <c r="E83" s="265">
        <f>E82/M74</f>
        <v>0</v>
      </c>
      <c r="F83" s="265"/>
      <c r="G83" s="266"/>
      <c r="H83" s="267"/>
      <c r="I83" s="268"/>
      <c r="J83" s="269"/>
      <c r="L83" s="268"/>
      <c r="M83" s="267"/>
      <c r="O83" s="268"/>
      <c r="P83" s="271"/>
    </row>
  </sheetData>
  <sheetProtection selectLockedCells="1"/>
  <mergeCells count="109">
    <mergeCell ref="F21:F22"/>
    <mergeCell ref="D19:D20"/>
    <mergeCell ref="C19:C20"/>
    <mergeCell ref="E19:E20"/>
    <mergeCell ref="F19:F20"/>
    <mergeCell ref="F38:F39"/>
    <mergeCell ref="C29:C31"/>
    <mergeCell ref="C32:C34"/>
    <mergeCell ref="C35:C36"/>
    <mergeCell ref="C38:C39"/>
    <mergeCell ref="D29:D31"/>
    <mergeCell ref="E29:E31"/>
    <mergeCell ref="F29:F31"/>
    <mergeCell ref="D32:D34"/>
    <mergeCell ref="E32:E34"/>
    <mergeCell ref="F32:F34"/>
    <mergeCell ref="D35:D36"/>
    <mergeCell ref="E35:E36"/>
    <mergeCell ref="F35:F36"/>
    <mergeCell ref="D38:D39"/>
    <mergeCell ref="E38:E39"/>
    <mergeCell ref="A79:C79"/>
    <mergeCell ref="A71:C71"/>
    <mergeCell ref="B72:C72"/>
    <mergeCell ref="B76:C76"/>
    <mergeCell ref="A53:C53"/>
    <mergeCell ref="A57:C57"/>
    <mergeCell ref="A60:C60"/>
    <mergeCell ref="A64:C64"/>
    <mergeCell ref="A67:C67"/>
    <mergeCell ref="A58:A59"/>
    <mergeCell ref="A61:A63"/>
    <mergeCell ref="B62:B63"/>
    <mergeCell ref="A65:A66"/>
    <mergeCell ref="A54:A56"/>
    <mergeCell ref="B61:C61"/>
    <mergeCell ref="B65:C65"/>
    <mergeCell ref="A76:A78"/>
    <mergeCell ref="B77:B78"/>
    <mergeCell ref="A75:C75"/>
    <mergeCell ref="A68:A70"/>
    <mergeCell ref="B69:B70"/>
    <mergeCell ref="A72:A74"/>
    <mergeCell ref="B73:B74"/>
    <mergeCell ref="B68:C68"/>
    <mergeCell ref="G45:P45"/>
    <mergeCell ref="A1:Q1"/>
    <mergeCell ref="A3:C3"/>
    <mergeCell ref="D3:D4"/>
    <mergeCell ref="E3:E4"/>
    <mergeCell ref="F3:F4"/>
    <mergeCell ref="Q3:Q4"/>
    <mergeCell ref="A2:C2"/>
    <mergeCell ref="I4:O4"/>
    <mergeCell ref="K2:P2"/>
    <mergeCell ref="G3:P3"/>
    <mergeCell ref="A40:C40"/>
    <mergeCell ref="A45:C45"/>
    <mergeCell ref="A41:A44"/>
    <mergeCell ref="C17:C18"/>
    <mergeCell ref="A6:A39"/>
    <mergeCell ref="C7:C16"/>
    <mergeCell ref="D7:D16"/>
    <mergeCell ref="E7:E16"/>
    <mergeCell ref="F7:F16"/>
    <mergeCell ref="D17:D18"/>
    <mergeCell ref="C21:C22"/>
    <mergeCell ref="D21:D22"/>
    <mergeCell ref="E21:E22"/>
    <mergeCell ref="G40:P40"/>
    <mergeCell ref="G75:P75"/>
    <mergeCell ref="G27:P27"/>
    <mergeCell ref="B55:B56"/>
    <mergeCell ref="G57:P57"/>
    <mergeCell ref="G41:P41"/>
    <mergeCell ref="G23:P23"/>
    <mergeCell ref="G6:P6"/>
    <mergeCell ref="G5:P5"/>
    <mergeCell ref="E17:E18"/>
    <mergeCell ref="F17:F18"/>
    <mergeCell ref="A5:C5"/>
    <mergeCell ref="B24:B26"/>
    <mergeCell ref="B28:B39"/>
    <mergeCell ref="B54:C54"/>
    <mergeCell ref="A46:A52"/>
    <mergeCell ref="B6:C6"/>
    <mergeCell ref="B41:C41"/>
    <mergeCell ref="B23:C23"/>
    <mergeCell ref="B7:B22"/>
    <mergeCell ref="B51:C51"/>
    <mergeCell ref="B42:B44"/>
    <mergeCell ref="B47:B50"/>
    <mergeCell ref="B27:C27"/>
    <mergeCell ref="G76:P76"/>
    <mergeCell ref="G60:P60"/>
    <mergeCell ref="G61:P61"/>
    <mergeCell ref="G64:P64"/>
    <mergeCell ref="G67:P67"/>
    <mergeCell ref="G65:P65"/>
    <mergeCell ref="G68:P68"/>
    <mergeCell ref="B58:C58"/>
    <mergeCell ref="G46:P46"/>
    <mergeCell ref="G51:P51"/>
    <mergeCell ref="G53:P53"/>
    <mergeCell ref="G54:P54"/>
    <mergeCell ref="G71:P71"/>
    <mergeCell ref="G72:P72"/>
    <mergeCell ref="G58:P58"/>
    <mergeCell ref="B46:C46"/>
  </mergeCells>
  <phoneticPr fontId="3" type="noConversion"/>
  <pageMargins left="0.25" right="0.25" top="0.75" bottom="0.75" header="0.3" footer="0.3"/>
  <pageSetup paperSize="9" scale="6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opLeftCell="A7" workbookViewId="0">
      <selection activeCell="J31" sqref="J31"/>
    </sheetView>
  </sheetViews>
  <sheetFormatPr defaultRowHeight="16.5"/>
  <cols>
    <col min="1" max="1" width="11.375" customWidth="1"/>
    <col min="2" max="2" width="14.125" customWidth="1"/>
    <col min="3" max="3" width="15.875" customWidth="1"/>
    <col min="4" max="4" width="13.5" customWidth="1"/>
    <col min="5" max="12" width="16.875" customWidth="1"/>
    <col min="13" max="14" width="0" hidden="1" customWidth="1"/>
  </cols>
  <sheetData>
    <row r="1" spans="1:14">
      <c r="A1" s="439" t="s">
        <v>348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1"/>
      <c r="M1" s="284"/>
    </row>
    <row r="2" spans="1:14">
      <c r="A2" s="442" t="s">
        <v>349</v>
      </c>
      <c r="B2" s="439" t="s">
        <v>350</v>
      </c>
      <c r="C2" s="440"/>
      <c r="D2" s="441"/>
      <c r="E2" s="439" t="s">
        <v>351</v>
      </c>
      <c r="F2" s="440"/>
      <c r="G2" s="440"/>
      <c r="H2" s="440"/>
      <c r="I2" s="440"/>
      <c r="J2" s="440"/>
      <c r="K2" s="440"/>
      <c r="L2" s="441"/>
      <c r="M2" s="285"/>
    </row>
    <row r="3" spans="1:14">
      <c r="A3" s="443"/>
      <c r="B3" s="436" t="s">
        <v>352</v>
      </c>
      <c r="C3" s="437"/>
      <c r="D3" s="438"/>
      <c r="E3" s="439" t="s">
        <v>353</v>
      </c>
      <c r="F3" s="440"/>
      <c r="G3" s="440"/>
      <c r="H3" s="440"/>
      <c r="I3" s="440"/>
      <c r="J3" s="440"/>
      <c r="K3" s="440"/>
      <c r="L3" s="441"/>
      <c r="M3" s="285"/>
    </row>
    <row r="4" spans="1:14">
      <c r="A4" s="443"/>
      <c r="B4" s="436" t="s">
        <v>354</v>
      </c>
      <c r="C4" s="437"/>
      <c r="D4" s="438"/>
      <c r="E4" s="439" t="s">
        <v>355</v>
      </c>
      <c r="F4" s="440"/>
      <c r="G4" s="440"/>
      <c r="H4" s="440"/>
      <c r="I4" s="440"/>
      <c r="J4" s="440"/>
      <c r="K4" s="440"/>
      <c r="L4" s="441"/>
      <c r="M4" s="285"/>
    </row>
    <row r="5" spans="1:14">
      <c r="A5" s="444"/>
      <c r="B5" s="439" t="s">
        <v>356</v>
      </c>
      <c r="C5" s="440"/>
      <c r="D5" s="441"/>
      <c r="E5" s="439" t="s">
        <v>357</v>
      </c>
      <c r="F5" s="440"/>
      <c r="G5" s="440"/>
      <c r="H5" s="440"/>
      <c r="I5" s="440"/>
      <c r="J5" s="440"/>
      <c r="K5" s="440"/>
      <c r="L5" s="441"/>
      <c r="M5" s="285"/>
    </row>
    <row r="6" spans="1:14">
      <c r="A6" s="286" t="s">
        <v>358</v>
      </c>
      <c r="B6" s="436" t="s">
        <v>359</v>
      </c>
      <c r="C6" s="437"/>
      <c r="D6" s="438"/>
      <c r="E6" s="439" t="s">
        <v>360</v>
      </c>
      <c r="F6" s="440"/>
      <c r="G6" s="440"/>
      <c r="H6" s="440"/>
      <c r="I6" s="440"/>
      <c r="J6" s="440"/>
      <c r="K6" s="440"/>
      <c r="L6" s="441"/>
      <c r="M6" s="285"/>
    </row>
    <row r="7" spans="1:14">
      <c r="A7" s="287"/>
      <c r="B7" s="436" t="s">
        <v>352</v>
      </c>
      <c r="C7" s="437"/>
      <c r="D7" s="438"/>
      <c r="E7" s="439" t="s">
        <v>361</v>
      </c>
      <c r="F7" s="440"/>
      <c r="G7" s="440"/>
      <c r="H7" s="440"/>
      <c r="I7" s="440"/>
      <c r="J7" s="440"/>
      <c r="K7" s="440"/>
      <c r="L7" s="441"/>
      <c r="M7" s="285"/>
    </row>
    <row r="8" spans="1:14">
      <c r="A8" s="285"/>
      <c r="B8" s="436" t="s">
        <v>362</v>
      </c>
      <c r="C8" s="437"/>
      <c r="D8" s="438"/>
      <c r="E8" s="439" t="s">
        <v>363</v>
      </c>
      <c r="F8" s="440"/>
      <c r="G8" s="440"/>
      <c r="H8" s="440"/>
      <c r="I8" s="440"/>
      <c r="J8" s="440"/>
      <c r="K8" s="440"/>
      <c r="L8" s="441"/>
      <c r="M8" s="285"/>
      <c r="N8" s="285"/>
    </row>
    <row r="9" spans="1:14" ht="22.5">
      <c r="A9" s="285" t="s">
        <v>166</v>
      </c>
      <c r="B9" s="285" t="s">
        <v>167</v>
      </c>
      <c r="C9" s="285" t="s">
        <v>168</v>
      </c>
      <c r="D9" s="285" t="s">
        <v>169</v>
      </c>
      <c r="E9" s="285" t="s">
        <v>170</v>
      </c>
      <c r="F9" s="285" t="s">
        <v>171</v>
      </c>
      <c r="G9" s="285" t="s">
        <v>172</v>
      </c>
      <c r="H9" s="285" t="s">
        <v>173</v>
      </c>
      <c r="I9" s="285" t="s">
        <v>174</v>
      </c>
      <c r="J9" s="285" t="s">
        <v>175</v>
      </c>
      <c r="K9" s="285" t="s">
        <v>176</v>
      </c>
      <c r="L9" s="285" t="s">
        <v>177</v>
      </c>
      <c r="M9" s="285" t="s">
        <v>178</v>
      </c>
      <c r="N9" s="285" t="s">
        <v>179</v>
      </c>
    </row>
    <row r="10" spans="1:14">
      <c r="A10" s="288" t="s">
        <v>393</v>
      </c>
      <c r="B10" s="288" t="s">
        <v>394</v>
      </c>
      <c r="C10" s="288" t="str">
        <f>인건비산정!B4</f>
        <v>종사자1</v>
      </c>
      <c r="D10" s="289" t="str">
        <f>인건비산정!C4</f>
        <v>시설장</v>
      </c>
      <c r="E10" s="290" t="s">
        <v>364</v>
      </c>
      <c r="F10" s="289" t="str">
        <f>인건비산정!D4</f>
        <v>간접비</v>
      </c>
      <c r="G10" s="291"/>
      <c r="H10" s="292">
        <f>인건비산정!M4*12</f>
        <v>38400000</v>
      </c>
      <c r="I10" s="292">
        <v>0</v>
      </c>
      <c r="J10" s="292">
        <v>0</v>
      </c>
      <c r="K10" s="292">
        <f>인건비산정!N4*12</f>
        <v>0</v>
      </c>
      <c r="L10" s="293">
        <f>인건비산정!T4*12</f>
        <v>3234753.216</v>
      </c>
      <c r="M10" s="293">
        <v>0</v>
      </c>
      <c r="N10" s="288">
        <v>2014000001</v>
      </c>
    </row>
    <row r="11" spans="1:14">
      <c r="A11" s="288" t="s">
        <v>393</v>
      </c>
      <c r="B11" s="288" t="s">
        <v>394</v>
      </c>
      <c r="C11" s="288" t="str">
        <f>인건비산정!B5</f>
        <v>종사자2</v>
      </c>
      <c r="D11" s="289" t="str">
        <f>인건비산정!C5</f>
        <v>조리원</v>
      </c>
      <c r="E11" s="295" t="s">
        <v>364</v>
      </c>
      <c r="F11" s="289" t="str">
        <f>인건비산정!D5</f>
        <v>간접비</v>
      </c>
      <c r="G11" s="296"/>
      <c r="H11" s="292">
        <f>인건비산정!M5*12</f>
        <v>23340000</v>
      </c>
      <c r="I11" s="297">
        <v>0</v>
      </c>
      <c r="J11" s="297">
        <v>0</v>
      </c>
      <c r="K11" s="292">
        <f>인건비산정!N5*12</f>
        <v>1945000</v>
      </c>
      <c r="L11" s="293">
        <f>인건비산정!T5*12</f>
        <v>2409583.4391000001</v>
      </c>
      <c r="M11" s="298">
        <v>0</v>
      </c>
      <c r="N11" s="294">
        <v>2014000003</v>
      </c>
    </row>
    <row r="12" spans="1:14">
      <c r="A12" s="288" t="s">
        <v>393</v>
      </c>
      <c r="B12" s="288" t="s">
        <v>394</v>
      </c>
      <c r="C12" s="288" t="str">
        <f>인건비산정!B6</f>
        <v>종사자3</v>
      </c>
      <c r="D12" s="289" t="str">
        <f>인건비산정!C6</f>
        <v>사회복지사</v>
      </c>
      <c r="E12" s="300" t="s">
        <v>364</v>
      </c>
      <c r="F12" s="289" t="str">
        <f>인건비산정!D6</f>
        <v>직접비</v>
      </c>
      <c r="G12" s="301"/>
      <c r="H12" s="292">
        <f>인건비산정!M6*12</f>
        <v>27480000</v>
      </c>
      <c r="I12" s="302">
        <v>0</v>
      </c>
      <c r="J12" s="302">
        <v>0</v>
      </c>
      <c r="K12" s="292">
        <f>인건비산정!N6*12</f>
        <v>2290000</v>
      </c>
      <c r="L12" s="293">
        <f>인건비산정!T6*12</f>
        <v>2836990.2702000001</v>
      </c>
      <c r="M12" s="303">
        <v>0</v>
      </c>
      <c r="N12" s="299">
        <v>2017000005</v>
      </c>
    </row>
    <row r="13" spans="1:14">
      <c r="A13" s="288" t="s">
        <v>393</v>
      </c>
      <c r="B13" s="288" t="s">
        <v>394</v>
      </c>
      <c r="C13" s="288" t="str">
        <f>인건비산정!B7</f>
        <v>종사자4</v>
      </c>
      <c r="D13" s="289" t="str">
        <f>인건비산정!C7</f>
        <v>사회복지사</v>
      </c>
      <c r="E13" s="295" t="s">
        <v>364</v>
      </c>
      <c r="F13" s="289" t="str">
        <f>인건비산정!D7</f>
        <v>직접비</v>
      </c>
      <c r="G13" s="296"/>
      <c r="H13" s="292">
        <f>인건비산정!M7*12</f>
        <v>23340000</v>
      </c>
      <c r="I13" s="297">
        <v>0</v>
      </c>
      <c r="J13" s="297">
        <v>0</v>
      </c>
      <c r="K13" s="292">
        <f>인건비산정!N7*12</f>
        <v>1945000</v>
      </c>
      <c r="L13" s="293">
        <f>인건비산정!T7*12</f>
        <v>2409583.4391000001</v>
      </c>
      <c r="M13" s="298">
        <v>0</v>
      </c>
      <c r="N13" s="294">
        <v>2014000002</v>
      </c>
    </row>
    <row r="14" spans="1:14">
      <c r="A14" s="288" t="s">
        <v>393</v>
      </c>
      <c r="B14" s="288" t="s">
        <v>394</v>
      </c>
      <c r="C14" s="288" t="str">
        <f>인건비산정!B8</f>
        <v>종사자5</v>
      </c>
      <c r="D14" s="289" t="str">
        <f>인건비산정!C8</f>
        <v>간호조무사</v>
      </c>
      <c r="E14" s="300" t="s">
        <v>364</v>
      </c>
      <c r="F14" s="289" t="str">
        <f>인건비산정!D8</f>
        <v>직접비</v>
      </c>
      <c r="G14" s="301"/>
      <c r="H14" s="292">
        <f>인건비산정!M8*12</f>
        <v>24600000</v>
      </c>
      <c r="I14" s="302">
        <v>0</v>
      </c>
      <c r="J14" s="302">
        <v>0</v>
      </c>
      <c r="K14" s="292">
        <f>인건비산정!N8*12</f>
        <v>2050000</v>
      </c>
      <c r="L14" s="293">
        <f>인건비산정!T8*12</f>
        <v>2539663.7790000001</v>
      </c>
      <c r="M14" s="303">
        <v>0</v>
      </c>
      <c r="N14" s="299">
        <v>17</v>
      </c>
    </row>
    <row r="15" spans="1:14">
      <c r="A15" s="288" t="s">
        <v>393</v>
      </c>
      <c r="B15" s="288" t="s">
        <v>394</v>
      </c>
      <c r="C15" s="288" t="str">
        <f>인건비산정!B9</f>
        <v>종사자6</v>
      </c>
      <c r="D15" s="289" t="str">
        <f>인건비산정!C9</f>
        <v>요양보호사 1급</v>
      </c>
      <c r="E15" s="300" t="s">
        <v>364</v>
      </c>
      <c r="F15" s="289" t="str">
        <f>인건비산정!D9</f>
        <v>직접비</v>
      </c>
      <c r="G15" s="301"/>
      <c r="H15" s="292">
        <f>인건비산정!M9*12</f>
        <v>24360000</v>
      </c>
      <c r="I15" s="302">
        <v>0</v>
      </c>
      <c r="J15" s="302">
        <v>0</v>
      </c>
      <c r="K15" s="292">
        <f>인건비산정!N9*12</f>
        <v>2030000</v>
      </c>
      <c r="L15" s="293">
        <f>인건비산정!T9*12</f>
        <v>2514886.5713999998</v>
      </c>
      <c r="M15" s="303"/>
      <c r="N15" s="299"/>
    </row>
    <row r="16" spans="1:14">
      <c r="A16" s="288" t="s">
        <v>393</v>
      </c>
      <c r="B16" s="288" t="s">
        <v>394</v>
      </c>
      <c r="C16" s="288" t="str">
        <f>인건비산정!B10</f>
        <v>종사자7</v>
      </c>
      <c r="D16" s="289" t="str">
        <f>인건비산정!C10</f>
        <v>요양보호사 1급</v>
      </c>
      <c r="E16" s="300" t="s">
        <v>364</v>
      </c>
      <c r="F16" s="289" t="str">
        <f>인건비산정!D10</f>
        <v>직접비</v>
      </c>
      <c r="G16" s="301"/>
      <c r="H16" s="292">
        <f>인건비산정!M10*12</f>
        <v>24120000</v>
      </c>
      <c r="I16" s="302">
        <v>0</v>
      </c>
      <c r="J16" s="302">
        <v>0</v>
      </c>
      <c r="K16" s="292">
        <f>인건비산정!N10*12</f>
        <v>2010000</v>
      </c>
      <c r="L16" s="293">
        <f>인건비산정!T10*12</f>
        <v>2490109.3638000004</v>
      </c>
      <c r="M16" s="303"/>
      <c r="N16" s="299"/>
    </row>
    <row r="17" spans="1:14">
      <c r="A17" s="288" t="s">
        <v>393</v>
      </c>
      <c r="B17" s="288" t="s">
        <v>394</v>
      </c>
      <c r="C17" s="288" t="str">
        <f>인건비산정!B11</f>
        <v>종사자8</v>
      </c>
      <c r="D17" s="289" t="str">
        <f>인건비산정!C11</f>
        <v>요양보호사 1급</v>
      </c>
      <c r="E17" s="300" t="s">
        <v>364</v>
      </c>
      <c r="F17" s="289" t="str">
        <f>인건비산정!D11</f>
        <v>직접비</v>
      </c>
      <c r="G17" s="301"/>
      <c r="H17" s="292">
        <f>인건비산정!M11*12</f>
        <v>23340000</v>
      </c>
      <c r="I17" s="302">
        <v>0</v>
      </c>
      <c r="J17" s="302">
        <v>0</v>
      </c>
      <c r="K17" s="292">
        <f>인건비산정!N11*12</f>
        <v>1945000</v>
      </c>
      <c r="L17" s="293">
        <f>인건비산정!T11*12</f>
        <v>2421253.4391000001</v>
      </c>
      <c r="M17" s="303"/>
      <c r="N17" s="299"/>
    </row>
    <row r="18" spans="1:14">
      <c r="A18" s="288" t="s">
        <v>393</v>
      </c>
      <c r="B18" s="288" t="s">
        <v>394</v>
      </c>
      <c r="C18" s="288" t="str">
        <f>인건비산정!B12</f>
        <v>종사자9</v>
      </c>
      <c r="D18" s="289" t="str">
        <f>인건비산정!C12</f>
        <v>요양보호사 1급</v>
      </c>
      <c r="E18" s="300" t="s">
        <v>364</v>
      </c>
      <c r="F18" s="289" t="str">
        <f>인건비산정!D12</f>
        <v>직접비</v>
      </c>
      <c r="G18" s="301"/>
      <c r="H18" s="292">
        <f>인건비산정!M12*12</f>
        <v>23340000</v>
      </c>
      <c r="I18" s="302">
        <v>0</v>
      </c>
      <c r="J18" s="302">
        <v>0</v>
      </c>
      <c r="K18" s="292">
        <f>인건비산정!N12*12</f>
        <v>1945000</v>
      </c>
      <c r="L18" s="293">
        <f>인건비산정!T12*12</f>
        <v>2432923.4391000001</v>
      </c>
      <c r="M18" s="303"/>
      <c r="N18" s="299"/>
    </row>
    <row r="19" spans="1:14">
      <c r="A19" s="288" t="s">
        <v>393</v>
      </c>
      <c r="B19" s="288" t="s">
        <v>394</v>
      </c>
      <c r="C19" s="288" t="str">
        <f>인건비산정!B13</f>
        <v>종사자10</v>
      </c>
      <c r="D19" s="289" t="str">
        <f>인건비산정!C13</f>
        <v>요양보호사 1급</v>
      </c>
      <c r="E19" s="300" t="s">
        <v>364</v>
      </c>
      <c r="F19" s="289" t="str">
        <f>인건비산정!D13</f>
        <v>직접비</v>
      </c>
      <c r="G19" s="301"/>
      <c r="H19" s="292">
        <f>인건비산정!M13*12</f>
        <v>25680000</v>
      </c>
      <c r="I19" s="302">
        <v>0</v>
      </c>
      <c r="J19" s="302">
        <v>0</v>
      </c>
      <c r="K19" s="292">
        <f>인건비산정!N13*12</f>
        <v>2140000</v>
      </c>
      <c r="L19" s="293">
        <f>인건비산정!T13*12</f>
        <v>2676841.2132000001</v>
      </c>
      <c r="M19" s="298">
        <v>0</v>
      </c>
      <c r="N19" s="294">
        <v>20190002</v>
      </c>
    </row>
    <row r="20" spans="1:14">
      <c r="A20" s="288" t="s">
        <v>393</v>
      </c>
      <c r="B20" s="288" t="s">
        <v>394</v>
      </c>
      <c r="C20" s="288" t="str">
        <f>인건비산정!B14</f>
        <v>종사자11</v>
      </c>
      <c r="D20" s="289" t="str">
        <f>인건비산정!C14</f>
        <v>요양보호사 1급</v>
      </c>
      <c r="E20" s="300" t="s">
        <v>364</v>
      </c>
      <c r="F20" s="289" t="str">
        <f>인건비산정!D14</f>
        <v>직접비</v>
      </c>
      <c r="G20" s="301"/>
      <c r="H20" s="292">
        <f>인건비산정!M14*12</f>
        <v>25680000</v>
      </c>
      <c r="I20" s="302">
        <v>0</v>
      </c>
      <c r="J20" s="302">
        <v>0</v>
      </c>
      <c r="K20" s="292">
        <f>인건비산정!N14*12</f>
        <v>2140000</v>
      </c>
      <c r="L20" s="293">
        <f>인건비산정!T14*12</f>
        <v>2676841.2132000001</v>
      </c>
      <c r="M20" s="303">
        <v>0</v>
      </c>
      <c r="N20" s="299">
        <v>2019000001</v>
      </c>
    </row>
    <row r="21" spans="1:14">
      <c r="A21" s="288" t="s">
        <v>393</v>
      </c>
      <c r="B21" s="288" t="s">
        <v>394</v>
      </c>
      <c r="C21" s="288" t="str">
        <f>인건비산정!B15</f>
        <v>종사자12</v>
      </c>
      <c r="D21" s="289" t="str">
        <f>인건비산정!C15</f>
        <v>요양보호사 1급</v>
      </c>
      <c r="E21" s="300" t="s">
        <v>364</v>
      </c>
      <c r="F21" s="289" t="str">
        <f>인건비산정!D15</f>
        <v>직접비</v>
      </c>
      <c r="G21" s="301"/>
      <c r="H21" s="292">
        <f>인건비산정!M15*12</f>
        <v>25680000</v>
      </c>
      <c r="I21" s="302">
        <v>0</v>
      </c>
      <c r="J21" s="302">
        <v>0</v>
      </c>
      <c r="K21" s="292">
        <f>인건비산정!N15*12</f>
        <v>2140000</v>
      </c>
      <c r="L21" s="293">
        <f>인건비산정!T15*12</f>
        <v>2676841.2132000001</v>
      </c>
      <c r="M21" s="298">
        <v>0</v>
      </c>
      <c r="N21" s="294">
        <v>2018000012</v>
      </c>
    </row>
    <row r="22" spans="1:14">
      <c r="A22" s="288" t="s">
        <v>393</v>
      </c>
      <c r="B22" s="288" t="s">
        <v>394</v>
      </c>
      <c r="C22" s="288" t="str">
        <f>인건비산정!B16</f>
        <v>종사자13</v>
      </c>
      <c r="D22" s="289" t="str">
        <f>인건비산정!C16</f>
        <v>요양보호사 1급</v>
      </c>
      <c r="E22" s="300" t="s">
        <v>364</v>
      </c>
      <c r="F22" s="289" t="str">
        <f>인건비산정!D16</f>
        <v>직접비</v>
      </c>
      <c r="G22" s="301"/>
      <c r="H22" s="292">
        <f>인건비산정!M16*12</f>
        <v>25440000</v>
      </c>
      <c r="I22" s="302">
        <v>0</v>
      </c>
      <c r="J22" s="302">
        <v>0</v>
      </c>
      <c r="K22" s="292">
        <f>인건비산정!N16*12</f>
        <v>2120000</v>
      </c>
      <c r="L22" s="293">
        <f>인건비산정!T16*12</f>
        <v>2651824.0055999998</v>
      </c>
      <c r="M22" s="303">
        <v>0</v>
      </c>
      <c r="N22" s="299">
        <v>2018000009</v>
      </c>
    </row>
    <row r="23" spans="1:14">
      <c r="A23" s="288" t="s">
        <v>393</v>
      </c>
      <c r="B23" s="288" t="s">
        <v>394</v>
      </c>
      <c r="C23" s="288" t="str">
        <f>인건비산정!B17</f>
        <v>종사자14</v>
      </c>
      <c r="D23" s="289" t="str">
        <f>인건비산정!C17</f>
        <v>요양보호사 1급</v>
      </c>
      <c r="E23" s="300" t="s">
        <v>364</v>
      </c>
      <c r="F23" s="289" t="str">
        <f>인건비산정!D17</f>
        <v>직접비</v>
      </c>
      <c r="G23" s="301"/>
      <c r="H23" s="292">
        <f>인건비산정!M17*12</f>
        <v>25440000</v>
      </c>
      <c r="I23" s="302">
        <v>0</v>
      </c>
      <c r="J23" s="302">
        <v>0</v>
      </c>
      <c r="K23" s="292">
        <f>인건비산정!N17*12</f>
        <v>2120000</v>
      </c>
      <c r="L23" s="293">
        <f>인건비산정!T17*12</f>
        <v>2651824.0055999998</v>
      </c>
      <c r="M23" s="298">
        <v>0</v>
      </c>
      <c r="N23" s="294">
        <v>2018000008</v>
      </c>
    </row>
    <row r="24" spans="1:14">
      <c r="A24" s="288" t="s">
        <v>393</v>
      </c>
      <c r="B24" s="288" t="s">
        <v>394</v>
      </c>
      <c r="C24" s="288" t="str">
        <f>인건비산정!B18</f>
        <v>종사자15</v>
      </c>
      <c r="D24" s="289" t="str">
        <f>인건비산정!C18</f>
        <v>요양보호사 1급</v>
      </c>
      <c r="E24" s="300" t="s">
        <v>364</v>
      </c>
      <c r="F24" s="289" t="str">
        <f>인건비산정!D18</f>
        <v>직접비</v>
      </c>
      <c r="G24" s="301"/>
      <c r="H24" s="292">
        <f>인건비산정!M18*12</f>
        <v>25440000</v>
      </c>
      <c r="I24" s="302">
        <v>0</v>
      </c>
      <c r="J24" s="302">
        <v>0</v>
      </c>
      <c r="K24" s="292">
        <f>인건비산정!N18*12</f>
        <v>2120000</v>
      </c>
      <c r="L24" s="293">
        <f>인건비산정!T18*12</f>
        <v>2651824.0055999998</v>
      </c>
      <c r="M24" s="298"/>
      <c r="N24" s="294"/>
    </row>
    <row r="25" spans="1:14">
      <c r="A25" s="288" t="s">
        <v>393</v>
      </c>
      <c r="B25" s="288" t="s">
        <v>394</v>
      </c>
      <c r="C25" s="288" t="str">
        <f>인건비산정!B19</f>
        <v>종사자16</v>
      </c>
      <c r="D25" s="289" t="str">
        <f>인건비산정!C19</f>
        <v>요양보호사 1급</v>
      </c>
      <c r="E25" s="300" t="s">
        <v>364</v>
      </c>
      <c r="F25" s="289" t="str">
        <f>인건비산정!D19</f>
        <v>직접비</v>
      </c>
      <c r="G25" s="301"/>
      <c r="H25" s="292">
        <f>인건비산정!M19*12</f>
        <v>25200000</v>
      </c>
      <c r="I25" s="302">
        <v>0</v>
      </c>
      <c r="J25" s="302">
        <v>0</v>
      </c>
      <c r="K25" s="292">
        <f>인건비산정!N19*12</f>
        <v>2100000</v>
      </c>
      <c r="L25" s="293">
        <f>인건비산정!T19*12</f>
        <v>2626806.798</v>
      </c>
      <c r="M25" s="298"/>
      <c r="N25" s="294"/>
    </row>
    <row r="26" spans="1:14">
      <c r="A26" s="288" t="s">
        <v>393</v>
      </c>
      <c r="B26" s="288" t="s">
        <v>394</v>
      </c>
      <c r="C26" s="288" t="str">
        <f>인건비산정!B20</f>
        <v>종사자17</v>
      </c>
      <c r="D26" s="289" t="str">
        <f>인건비산정!C20</f>
        <v>요양보호사 1급</v>
      </c>
      <c r="E26" s="300" t="s">
        <v>364</v>
      </c>
      <c r="F26" s="289" t="str">
        <f>인건비산정!D20</f>
        <v>직접비</v>
      </c>
      <c r="G26" s="301"/>
      <c r="H26" s="292">
        <f>인건비산정!M20*12</f>
        <v>25200000</v>
      </c>
      <c r="I26" s="302">
        <v>0</v>
      </c>
      <c r="J26" s="302">
        <v>0</v>
      </c>
      <c r="K26" s="292">
        <f>인건비산정!N20*12</f>
        <v>2100000</v>
      </c>
      <c r="L26" s="293">
        <f>인건비산정!T20*12</f>
        <v>2626806.798</v>
      </c>
      <c r="M26" s="298"/>
      <c r="N26" s="294"/>
    </row>
    <row r="27" spans="1:14">
      <c r="A27" s="288" t="s">
        <v>393</v>
      </c>
      <c r="B27" s="288" t="s">
        <v>394</v>
      </c>
      <c r="C27" s="288" t="str">
        <f>인건비산정!B21</f>
        <v>종사자18</v>
      </c>
      <c r="D27" s="289" t="str">
        <f>인건비산정!C21</f>
        <v>요양보호사 1급</v>
      </c>
      <c r="E27" s="300" t="s">
        <v>364</v>
      </c>
      <c r="F27" s="289" t="str">
        <f>인건비산정!D21</f>
        <v>직접비</v>
      </c>
      <c r="G27" s="301"/>
      <c r="H27" s="292">
        <f>인건비산정!M21*12</f>
        <v>25200000</v>
      </c>
      <c r="I27" s="302">
        <v>0</v>
      </c>
      <c r="J27" s="302">
        <v>0</v>
      </c>
      <c r="K27" s="292">
        <f>인건비산정!N21*12</f>
        <v>2100000</v>
      </c>
      <c r="L27" s="293">
        <f>인건비산정!T21*12</f>
        <v>2626806.798</v>
      </c>
      <c r="M27" s="298"/>
      <c r="N27" s="294"/>
    </row>
  </sheetData>
  <mergeCells count="16">
    <mergeCell ref="A1:L1"/>
    <mergeCell ref="A2:A5"/>
    <mergeCell ref="B2:D2"/>
    <mergeCell ref="E2:L2"/>
    <mergeCell ref="B3:D3"/>
    <mergeCell ref="E3:L3"/>
    <mergeCell ref="B4:D4"/>
    <mergeCell ref="E4:L4"/>
    <mergeCell ref="B5:D5"/>
    <mergeCell ref="E5:L5"/>
    <mergeCell ref="B6:D6"/>
    <mergeCell ref="E6:L6"/>
    <mergeCell ref="B7:D7"/>
    <mergeCell ref="E7:L7"/>
    <mergeCell ref="B8:D8"/>
    <mergeCell ref="E8:L8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</sheetPr>
  <dimension ref="A1:U52"/>
  <sheetViews>
    <sheetView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22" sqref="E22"/>
    </sheetView>
  </sheetViews>
  <sheetFormatPr defaultRowHeight="16.5"/>
  <cols>
    <col min="1" max="1" width="8.625" style="87" bestFit="1" customWidth="1"/>
    <col min="2" max="2" width="8.75" style="86" bestFit="1" customWidth="1"/>
    <col min="3" max="3" width="13" style="86" bestFit="1" customWidth="1"/>
    <col min="4" max="4" width="14.25" style="86" bestFit="1" customWidth="1"/>
    <col min="5" max="5" width="14.25" style="82" bestFit="1" customWidth="1"/>
    <col min="6" max="6" width="10.5" style="82" bestFit="1" customWidth="1"/>
    <col min="7" max="8" width="12" style="82" bestFit="1" customWidth="1"/>
    <col min="9" max="9" width="12.625" style="82" bestFit="1" customWidth="1"/>
    <col min="10" max="10" width="15" style="82" bestFit="1" customWidth="1"/>
    <col min="11" max="11" width="12" style="82" bestFit="1" customWidth="1"/>
    <col min="12" max="12" width="11.875" style="82" bestFit="1" customWidth="1"/>
    <col min="13" max="13" width="14.25" style="82" bestFit="1" customWidth="1"/>
    <col min="14" max="14" width="11.875" style="82" bestFit="1" customWidth="1"/>
    <col min="15" max="16" width="11.625" style="82" bestFit="1" customWidth="1"/>
    <col min="17" max="17" width="10.5" style="82" bestFit="1" customWidth="1"/>
    <col min="18" max="18" width="12.125" style="82" customWidth="1"/>
    <col min="19" max="19" width="12.25" style="82" customWidth="1"/>
    <col min="20" max="20" width="13" style="82" bestFit="1" customWidth="1"/>
    <col min="21" max="21" width="14.25" style="82" bestFit="1" customWidth="1"/>
    <col min="22" max="16384" width="9" style="82"/>
  </cols>
  <sheetData>
    <row r="1" spans="1:21" ht="126" customHeight="1" thickBot="1">
      <c r="A1" s="450" t="s">
        <v>251</v>
      </c>
      <c r="B1" s="450"/>
      <c r="C1" s="450"/>
      <c r="D1" s="326">
        <f>U39/(세입명세서!E7+세입명세서!E29+세입명세서!E35+세입명세서!E36)%</f>
        <v>66.926475806191561</v>
      </c>
      <c r="E1" s="451" t="s">
        <v>423</v>
      </c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451"/>
    </row>
    <row r="2" spans="1:21" s="84" customFormat="1" ht="15" customHeight="1">
      <c r="A2" s="452" t="s">
        <v>252</v>
      </c>
      <c r="B2" s="454" t="s">
        <v>253</v>
      </c>
      <c r="C2" s="455"/>
      <c r="D2" s="456"/>
      <c r="E2" s="457" t="s">
        <v>283</v>
      </c>
      <c r="F2" s="457" t="s">
        <v>254</v>
      </c>
      <c r="G2" s="457"/>
      <c r="H2" s="457"/>
      <c r="I2" s="457"/>
      <c r="J2" s="457"/>
      <c r="K2" s="457"/>
      <c r="L2" s="457"/>
      <c r="M2" s="459" t="s">
        <v>255</v>
      </c>
      <c r="N2" s="459" t="s">
        <v>256</v>
      </c>
      <c r="O2" s="445" t="s">
        <v>257</v>
      </c>
      <c r="P2" s="446"/>
      <c r="Q2" s="446"/>
      <c r="R2" s="446"/>
      <c r="S2" s="447"/>
      <c r="T2" s="125"/>
      <c r="U2" s="448" t="s">
        <v>277</v>
      </c>
    </row>
    <row r="3" spans="1:21" s="84" customFormat="1" ht="15" customHeight="1">
      <c r="A3" s="453"/>
      <c r="B3" s="103" t="s">
        <v>258</v>
      </c>
      <c r="C3" s="103" t="s">
        <v>259</v>
      </c>
      <c r="D3" s="103" t="s">
        <v>260</v>
      </c>
      <c r="E3" s="458"/>
      <c r="F3" s="103" t="s">
        <v>261</v>
      </c>
      <c r="G3" s="103" t="s">
        <v>185</v>
      </c>
      <c r="H3" s="103" t="s">
        <v>186</v>
      </c>
      <c r="I3" s="103" t="s">
        <v>339</v>
      </c>
      <c r="J3" s="103" t="s">
        <v>340</v>
      </c>
      <c r="K3" s="103" t="s">
        <v>262</v>
      </c>
      <c r="L3" s="103" t="s">
        <v>396</v>
      </c>
      <c r="M3" s="458"/>
      <c r="N3" s="458"/>
      <c r="O3" s="104" t="s">
        <v>266</v>
      </c>
      <c r="P3" s="104" t="s">
        <v>267</v>
      </c>
      <c r="Q3" s="104" t="s">
        <v>263</v>
      </c>
      <c r="R3" s="104" t="s">
        <v>264</v>
      </c>
      <c r="S3" s="104" t="s">
        <v>268</v>
      </c>
      <c r="T3" s="104" t="s">
        <v>265</v>
      </c>
      <c r="U3" s="449"/>
    </row>
    <row r="4" spans="1:21" s="84" customFormat="1" ht="15" customHeight="1">
      <c r="A4" s="88">
        <v>1</v>
      </c>
      <c r="B4" s="138" t="s">
        <v>370</v>
      </c>
      <c r="C4" s="138" t="s">
        <v>366</v>
      </c>
      <c r="D4" s="134" t="str">
        <f t="shared" ref="D4:D21" si="0">IF(C$4:C$35="간호조무사","직접비",IF(C$4:C$35="간호사","직접비",IF(C$4:C$35="물리치료사","직접비",IF(C$4:C$35="작업치료사","직접비",IF(C$4:C$35="사회복지사","직접비",IF(C$4:C$35="요양보호사 1급","직접비",IF(C$4:C$35="간접비","","간접비")))))))</f>
        <v>간접비</v>
      </c>
      <c r="E4" s="149">
        <v>3200000</v>
      </c>
      <c r="F4" s="139"/>
      <c r="G4" s="140"/>
      <c r="H4" s="140"/>
      <c r="I4" s="140"/>
      <c r="J4" s="140"/>
      <c r="K4" s="140"/>
      <c r="L4" s="89">
        <f>SUM(F4:K4)</f>
        <v>0</v>
      </c>
      <c r="M4" s="89">
        <f t="shared" ref="M4:M19" si="1">E4+L4</f>
        <v>3200000</v>
      </c>
      <c r="N4" s="304"/>
      <c r="O4" s="85">
        <f t="shared" ref="O4:O35" si="2">M4*4.5%</f>
        <v>144000</v>
      </c>
      <c r="P4" s="85">
        <f>M4*3.495%</f>
        <v>111840</v>
      </c>
      <c r="Q4" s="85">
        <f>P4*12.27%</f>
        <v>13722.767999999998</v>
      </c>
      <c r="R4" s="85">
        <f>M4*1.05%*0</f>
        <v>0</v>
      </c>
      <c r="S4" s="85">
        <f>M4*0.85%*0</f>
        <v>0</v>
      </c>
      <c r="T4" s="147">
        <f>SUM(O4:S4)</f>
        <v>269562.76799999998</v>
      </c>
      <c r="U4" s="148">
        <f>M4+N4+T4</f>
        <v>3469562.7680000002</v>
      </c>
    </row>
    <row r="5" spans="1:21" s="84" customFormat="1" ht="15" customHeight="1">
      <c r="A5" s="88">
        <v>2</v>
      </c>
      <c r="B5" s="138" t="s">
        <v>371</v>
      </c>
      <c r="C5" s="138" t="s">
        <v>428</v>
      </c>
      <c r="D5" s="134" t="str">
        <f t="shared" si="0"/>
        <v>간접비</v>
      </c>
      <c r="E5" s="149">
        <v>1945000</v>
      </c>
      <c r="F5" s="139"/>
      <c r="G5" s="140"/>
      <c r="H5" s="140"/>
      <c r="I5" s="140"/>
      <c r="J5" s="140"/>
      <c r="K5" s="140"/>
      <c r="L5" s="89">
        <f t="shared" ref="L5:L35" si="3">SUM(F5:K5)</f>
        <v>0</v>
      </c>
      <c r="M5" s="89">
        <f t="shared" si="1"/>
        <v>1945000</v>
      </c>
      <c r="N5" s="304">
        <f t="shared" ref="N5:N35" si="4">M5/12</f>
        <v>162083.33333333334</v>
      </c>
      <c r="O5" s="85">
        <f t="shared" si="2"/>
        <v>87525</v>
      </c>
      <c r="P5" s="85">
        <f t="shared" ref="P5:P35" si="5">M5*3.495%</f>
        <v>67977.75</v>
      </c>
      <c r="Q5" s="85">
        <f t="shared" ref="Q5:Q35" si="6">P5*12.27%</f>
        <v>8340.8699249999991</v>
      </c>
      <c r="R5" s="85">
        <f t="shared" ref="R5:R10" si="7">M5*1.05%</f>
        <v>20422.5</v>
      </c>
      <c r="S5" s="85">
        <f t="shared" ref="S5:S10" si="8">M5*0.85%</f>
        <v>16532.5</v>
      </c>
      <c r="T5" s="147">
        <f>SUM(O5:S5)</f>
        <v>200798.61992500001</v>
      </c>
      <c r="U5" s="148">
        <f t="shared" ref="U5:U35" si="9">M5+N5+T5</f>
        <v>2307881.9532583337</v>
      </c>
    </row>
    <row r="6" spans="1:21" s="84" customFormat="1" ht="15" customHeight="1">
      <c r="A6" s="88">
        <v>3</v>
      </c>
      <c r="B6" s="138" t="s">
        <v>372</v>
      </c>
      <c r="C6" s="138" t="s">
        <v>195</v>
      </c>
      <c r="D6" s="134" t="str">
        <f t="shared" si="0"/>
        <v>직접비</v>
      </c>
      <c r="E6" s="149">
        <v>2290000</v>
      </c>
      <c r="F6" s="139"/>
      <c r="G6" s="140"/>
      <c r="H6" s="140"/>
      <c r="I6" s="140"/>
      <c r="J6" s="140"/>
      <c r="K6" s="140"/>
      <c r="L6" s="89">
        <f t="shared" si="3"/>
        <v>0</v>
      </c>
      <c r="M6" s="89">
        <f t="shared" si="1"/>
        <v>2290000</v>
      </c>
      <c r="N6" s="304">
        <f t="shared" si="4"/>
        <v>190833.33333333334</v>
      </c>
      <c r="O6" s="85">
        <f t="shared" si="2"/>
        <v>103050</v>
      </c>
      <c r="P6" s="85">
        <f t="shared" si="5"/>
        <v>80035.5</v>
      </c>
      <c r="Q6" s="85">
        <f t="shared" si="6"/>
        <v>9820.3558499999999</v>
      </c>
      <c r="R6" s="85">
        <f t="shared" si="7"/>
        <v>24045</v>
      </c>
      <c r="S6" s="85">
        <f t="shared" si="8"/>
        <v>19465</v>
      </c>
      <c r="T6" s="147">
        <f t="shared" ref="T6:T18" si="10">SUM(O6:S6)</f>
        <v>236415.85584999999</v>
      </c>
      <c r="U6" s="148">
        <f t="shared" si="9"/>
        <v>2717249.1891833334</v>
      </c>
    </row>
    <row r="7" spans="1:21" s="84" customFormat="1" ht="15" customHeight="1">
      <c r="A7" s="88">
        <v>4</v>
      </c>
      <c r="B7" s="138" t="s">
        <v>373</v>
      </c>
      <c r="C7" s="138" t="s">
        <v>195</v>
      </c>
      <c r="D7" s="134" t="str">
        <f t="shared" si="0"/>
        <v>직접비</v>
      </c>
      <c r="E7" s="149">
        <v>1945000</v>
      </c>
      <c r="F7" s="139"/>
      <c r="G7" s="140"/>
      <c r="H7" s="140"/>
      <c r="I7" s="140"/>
      <c r="J7" s="140"/>
      <c r="K7" s="140"/>
      <c r="L7" s="89">
        <f t="shared" si="3"/>
        <v>0</v>
      </c>
      <c r="M7" s="89">
        <f t="shared" si="1"/>
        <v>1945000</v>
      </c>
      <c r="N7" s="304">
        <f t="shared" si="4"/>
        <v>162083.33333333334</v>
      </c>
      <c r="O7" s="85">
        <f t="shared" si="2"/>
        <v>87525</v>
      </c>
      <c r="P7" s="85">
        <f t="shared" si="5"/>
        <v>67977.75</v>
      </c>
      <c r="Q7" s="85">
        <f t="shared" si="6"/>
        <v>8340.8699249999991</v>
      </c>
      <c r="R7" s="85">
        <f t="shared" si="7"/>
        <v>20422.5</v>
      </c>
      <c r="S7" s="85">
        <f t="shared" si="8"/>
        <v>16532.5</v>
      </c>
      <c r="T7" s="147">
        <f t="shared" si="10"/>
        <v>200798.61992500001</v>
      </c>
      <c r="U7" s="148">
        <f t="shared" si="9"/>
        <v>2307881.9532583337</v>
      </c>
    </row>
    <row r="8" spans="1:21" s="84" customFormat="1" ht="15" customHeight="1">
      <c r="A8" s="88">
        <v>5</v>
      </c>
      <c r="B8" s="138" t="s">
        <v>374</v>
      </c>
      <c r="C8" s="138" t="s">
        <v>429</v>
      </c>
      <c r="D8" s="134" t="str">
        <f t="shared" si="0"/>
        <v>직접비</v>
      </c>
      <c r="E8" s="149">
        <v>2050000</v>
      </c>
      <c r="F8" s="139"/>
      <c r="G8" s="140"/>
      <c r="H8" s="140"/>
      <c r="I8" s="140"/>
      <c r="J8" s="140"/>
      <c r="K8" s="140"/>
      <c r="L8" s="89">
        <f t="shared" si="3"/>
        <v>0</v>
      </c>
      <c r="M8" s="89">
        <f t="shared" si="1"/>
        <v>2050000</v>
      </c>
      <c r="N8" s="304">
        <f t="shared" si="4"/>
        <v>170833.33333333334</v>
      </c>
      <c r="O8" s="85">
        <f t="shared" si="2"/>
        <v>92250</v>
      </c>
      <c r="P8" s="85">
        <f t="shared" si="5"/>
        <v>71647.5</v>
      </c>
      <c r="Q8" s="85">
        <f t="shared" si="6"/>
        <v>8791.1482499999984</v>
      </c>
      <c r="R8" s="85">
        <f t="shared" si="7"/>
        <v>21525</v>
      </c>
      <c r="S8" s="85">
        <f t="shared" si="8"/>
        <v>17425</v>
      </c>
      <c r="T8" s="147">
        <f t="shared" si="10"/>
        <v>211638.64825</v>
      </c>
      <c r="U8" s="148">
        <f t="shared" si="9"/>
        <v>2432471.9815833336</v>
      </c>
    </row>
    <row r="9" spans="1:21" s="84" customFormat="1" ht="15" customHeight="1">
      <c r="A9" s="88">
        <v>6</v>
      </c>
      <c r="B9" s="138" t="s">
        <v>375</v>
      </c>
      <c r="C9" s="138" t="s">
        <v>430</v>
      </c>
      <c r="D9" s="134" t="str">
        <f t="shared" si="0"/>
        <v>직접비</v>
      </c>
      <c r="E9" s="149">
        <v>2030000</v>
      </c>
      <c r="F9" s="139"/>
      <c r="G9" s="140"/>
      <c r="H9" s="140"/>
      <c r="I9" s="140"/>
      <c r="J9" s="140"/>
      <c r="K9" s="140"/>
      <c r="L9" s="89">
        <f t="shared" si="3"/>
        <v>0</v>
      </c>
      <c r="M9" s="89">
        <f t="shared" si="1"/>
        <v>2030000</v>
      </c>
      <c r="N9" s="304">
        <f t="shared" si="4"/>
        <v>169166.66666666666</v>
      </c>
      <c r="O9" s="85">
        <f t="shared" si="2"/>
        <v>91350</v>
      </c>
      <c r="P9" s="85">
        <f t="shared" si="5"/>
        <v>70948.5</v>
      </c>
      <c r="Q9" s="85">
        <f t="shared" si="6"/>
        <v>8705.3809499999988</v>
      </c>
      <c r="R9" s="85">
        <f t="shared" si="7"/>
        <v>21315</v>
      </c>
      <c r="S9" s="85">
        <f t="shared" si="8"/>
        <v>17255</v>
      </c>
      <c r="T9" s="147">
        <f t="shared" si="10"/>
        <v>209573.88094999999</v>
      </c>
      <c r="U9" s="148">
        <f t="shared" si="9"/>
        <v>2408740.5476166666</v>
      </c>
    </row>
    <row r="10" spans="1:21" s="84" customFormat="1" ht="15" customHeight="1">
      <c r="A10" s="88">
        <v>7</v>
      </c>
      <c r="B10" s="138" t="s">
        <v>376</v>
      </c>
      <c r="C10" s="138" t="s">
        <v>430</v>
      </c>
      <c r="D10" s="134" t="str">
        <f t="shared" si="0"/>
        <v>직접비</v>
      </c>
      <c r="E10" s="149">
        <v>2010000</v>
      </c>
      <c r="F10" s="139"/>
      <c r="G10" s="140"/>
      <c r="H10" s="140"/>
      <c r="I10" s="140"/>
      <c r="J10" s="140"/>
      <c r="K10" s="140"/>
      <c r="L10" s="89">
        <f t="shared" si="3"/>
        <v>0</v>
      </c>
      <c r="M10" s="89">
        <f t="shared" si="1"/>
        <v>2010000</v>
      </c>
      <c r="N10" s="304">
        <f t="shared" si="4"/>
        <v>167500</v>
      </c>
      <c r="O10" s="85">
        <f t="shared" si="2"/>
        <v>90450</v>
      </c>
      <c r="P10" s="85">
        <f t="shared" si="5"/>
        <v>70249.5</v>
      </c>
      <c r="Q10" s="85">
        <f t="shared" si="6"/>
        <v>8619.6136499999993</v>
      </c>
      <c r="R10" s="85">
        <f t="shared" si="7"/>
        <v>21105</v>
      </c>
      <c r="S10" s="85">
        <f t="shared" si="8"/>
        <v>17085</v>
      </c>
      <c r="T10" s="147">
        <f t="shared" si="10"/>
        <v>207509.11365000001</v>
      </c>
      <c r="U10" s="148">
        <f t="shared" si="9"/>
        <v>2385009.1136500002</v>
      </c>
    </row>
    <row r="11" spans="1:21" s="84" customFormat="1" ht="15" customHeight="1">
      <c r="A11" s="88">
        <v>8</v>
      </c>
      <c r="B11" s="138" t="s">
        <v>377</v>
      </c>
      <c r="C11" s="138" t="s">
        <v>431</v>
      </c>
      <c r="D11" s="134" t="str">
        <f t="shared" si="0"/>
        <v>직접비</v>
      </c>
      <c r="E11" s="149">
        <v>1945000</v>
      </c>
      <c r="F11" s="139"/>
      <c r="G11" s="140"/>
      <c r="H11" s="140"/>
      <c r="I11" s="140"/>
      <c r="J11" s="140"/>
      <c r="K11" s="140"/>
      <c r="L11" s="89">
        <f t="shared" si="3"/>
        <v>0</v>
      </c>
      <c r="M11" s="89">
        <f t="shared" si="1"/>
        <v>1945000</v>
      </c>
      <c r="N11" s="304">
        <f t="shared" si="4"/>
        <v>162083.33333333334</v>
      </c>
      <c r="O11" s="85">
        <f t="shared" si="2"/>
        <v>87525</v>
      </c>
      <c r="P11" s="85">
        <f t="shared" si="5"/>
        <v>67977.75</v>
      </c>
      <c r="Q11" s="85">
        <f t="shared" si="6"/>
        <v>8340.8699249999991</v>
      </c>
      <c r="R11" s="85">
        <f>M11*1.15%</f>
        <v>22367.5</v>
      </c>
      <c r="S11" s="85">
        <f>M11*0.8%</f>
        <v>15560</v>
      </c>
      <c r="T11" s="147">
        <f t="shared" si="10"/>
        <v>201771.11992500001</v>
      </c>
      <c r="U11" s="148">
        <f t="shared" si="9"/>
        <v>2308854.4532583337</v>
      </c>
    </row>
    <row r="12" spans="1:21" s="84" customFormat="1" ht="15" customHeight="1">
      <c r="A12" s="88">
        <v>9</v>
      </c>
      <c r="B12" s="138" t="s">
        <v>378</v>
      </c>
      <c r="C12" s="138" t="s">
        <v>367</v>
      </c>
      <c r="D12" s="134" t="str">
        <f t="shared" si="0"/>
        <v>직접비</v>
      </c>
      <c r="E12" s="149">
        <v>1945000</v>
      </c>
      <c r="F12" s="139"/>
      <c r="G12" s="140"/>
      <c r="H12" s="140"/>
      <c r="I12" s="140"/>
      <c r="J12" s="140"/>
      <c r="K12" s="140"/>
      <c r="L12" s="89">
        <f t="shared" si="3"/>
        <v>0</v>
      </c>
      <c r="M12" s="89">
        <f t="shared" si="1"/>
        <v>1945000</v>
      </c>
      <c r="N12" s="304">
        <f t="shared" si="4"/>
        <v>162083.33333333334</v>
      </c>
      <c r="O12" s="85">
        <f t="shared" si="2"/>
        <v>87525</v>
      </c>
      <c r="P12" s="85">
        <f t="shared" si="5"/>
        <v>67977.75</v>
      </c>
      <c r="Q12" s="85">
        <f t="shared" si="6"/>
        <v>8340.8699249999991</v>
      </c>
      <c r="R12" s="85">
        <f t="shared" ref="R12:R35" si="11">M12*1.15%</f>
        <v>22367.5</v>
      </c>
      <c r="S12" s="85">
        <f t="shared" ref="S12:S35" si="12">M12*0.85%</f>
        <v>16532.5</v>
      </c>
      <c r="T12" s="147">
        <f t="shared" si="10"/>
        <v>202743.61992500001</v>
      </c>
      <c r="U12" s="148">
        <f t="shared" si="9"/>
        <v>2309826.9532583337</v>
      </c>
    </row>
    <row r="13" spans="1:21" s="84" customFormat="1" ht="15" customHeight="1">
      <c r="A13" s="88">
        <v>10</v>
      </c>
      <c r="B13" s="138" t="s">
        <v>379</v>
      </c>
      <c r="C13" s="138" t="s">
        <v>367</v>
      </c>
      <c r="D13" s="134" t="str">
        <f t="shared" si="0"/>
        <v>직접비</v>
      </c>
      <c r="E13" s="149">
        <v>2140000</v>
      </c>
      <c r="F13" s="139"/>
      <c r="G13" s="140"/>
      <c r="H13" s="140"/>
      <c r="I13" s="140"/>
      <c r="J13" s="140"/>
      <c r="K13" s="140"/>
      <c r="L13" s="89">
        <f t="shared" si="3"/>
        <v>0</v>
      </c>
      <c r="M13" s="89">
        <f t="shared" si="1"/>
        <v>2140000</v>
      </c>
      <c r="N13" s="304">
        <f t="shared" si="4"/>
        <v>178333.33333333334</v>
      </c>
      <c r="O13" s="85">
        <f t="shared" si="2"/>
        <v>96300</v>
      </c>
      <c r="P13" s="85">
        <f t="shared" si="5"/>
        <v>74793</v>
      </c>
      <c r="Q13" s="85">
        <f t="shared" si="6"/>
        <v>9177.1010999999999</v>
      </c>
      <c r="R13" s="85">
        <f t="shared" si="11"/>
        <v>24610</v>
      </c>
      <c r="S13" s="85">
        <f t="shared" si="12"/>
        <v>18190</v>
      </c>
      <c r="T13" s="147">
        <f t="shared" si="10"/>
        <v>223070.1011</v>
      </c>
      <c r="U13" s="148">
        <f t="shared" si="9"/>
        <v>2541403.4344333336</v>
      </c>
    </row>
    <row r="14" spans="1:21" s="84" customFormat="1" ht="15" customHeight="1">
      <c r="A14" s="88">
        <v>11</v>
      </c>
      <c r="B14" s="138" t="s">
        <v>380</v>
      </c>
      <c r="C14" s="138" t="s">
        <v>367</v>
      </c>
      <c r="D14" s="134" t="str">
        <f t="shared" si="0"/>
        <v>직접비</v>
      </c>
      <c r="E14" s="149">
        <v>2140000</v>
      </c>
      <c r="F14" s="139"/>
      <c r="G14" s="140"/>
      <c r="H14" s="140"/>
      <c r="I14" s="140"/>
      <c r="J14" s="140"/>
      <c r="K14" s="140"/>
      <c r="L14" s="89">
        <f t="shared" si="3"/>
        <v>0</v>
      </c>
      <c r="M14" s="89">
        <f t="shared" si="1"/>
        <v>2140000</v>
      </c>
      <c r="N14" s="304">
        <f t="shared" si="4"/>
        <v>178333.33333333334</v>
      </c>
      <c r="O14" s="85">
        <f t="shared" si="2"/>
        <v>96300</v>
      </c>
      <c r="P14" s="85">
        <f t="shared" si="5"/>
        <v>74793</v>
      </c>
      <c r="Q14" s="85">
        <f t="shared" si="6"/>
        <v>9177.1010999999999</v>
      </c>
      <c r="R14" s="85">
        <f t="shared" si="11"/>
        <v>24610</v>
      </c>
      <c r="S14" s="85">
        <f t="shared" si="12"/>
        <v>18190</v>
      </c>
      <c r="T14" s="147">
        <f t="shared" si="10"/>
        <v>223070.1011</v>
      </c>
      <c r="U14" s="148">
        <f t="shared" si="9"/>
        <v>2541403.4344333336</v>
      </c>
    </row>
    <row r="15" spans="1:21" s="84" customFormat="1" ht="15" customHeight="1">
      <c r="A15" s="88">
        <v>12</v>
      </c>
      <c r="B15" s="138" t="s">
        <v>381</v>
      </c>
      <c r="C15" s="138" t="s">
        <v>367</v>
      </c>
      <c r="D15" s="134" t="str">
        <f t="shared" si="0"/>
        <v>직접비</v>
      </c>
      <c r="E15" s="149">
        <v>2140000</v>
      </c>
      <c r="F15" s="139"/>
      <c r="G15" s="140"/>
      <c r="H15" s="140"/>
      <c r="I15" s="140"/>
      <c r="J15" s="140"/>
      <c r="K15" s="140"/>
      <c r="L15" s="89">
        <f t="shared" si="3"/>
        <v>0</v>
      </c>
      <c r="M15" s="89">
        <f t="shared" si="1"/>
        <v>2140000</v>
      </c>
      <c r="N15" s="304">
        <f t="shared" si="4"/>
        <v>178333.33333333334</v>
      </c>
      <c r="O15" s="85">
        <f t="shared" si="2"/>
        <v>96300</v>
      </c>
      <c r="P15" s="85">
        <f t="shared" si="5"/>
        <v>74793</v>
      </c>
      <c r="Q15" s="85">
        <f t="shared" si="6"/>
        <v>9177.1010999999999</v>
      </c>
      <c r="R15" s="85">
        <f t="shared" si="11"/>
        <v>24610</v>
      </c>
      <c r="S15" s="85">
        <f t="shared" si="12"/>
        <v>18190</v>
      </c>
      <c r="T15" s="147">
        <f t="shared" si="10"/>
        <v>223070.1011</v>
      </c>
      <c r="U15" s="148">
        <f t="shared" si="9"/>
        <v>2541403.4344333336</v>
      </c>
    </row>
    <row r="16" spans="1:21" s="84" customFormat="1" ht="15" customHeight="1">
      <c r="A16" s="88">
        <v>13</v>
      </c>
      <c r="B16" s="138" t="s">
        <v>382</v>
      </c>
      <c r="C16" s="138" t="s">
        <v>367</v>
      </c>
      <c r="D16" s="134" t="str">
        <f t="shared" si="0"/>
        <v>직접비</v>
      </c>
      <c r="E16" s="149">
        <v>2120000</v>
      </c>
      <c r="F16" s="139"/>
      <c r="G16" s="140"/>
      <c r="H16" s="140"/>
      <c r="I16" s="140"/>
      <c r="J16" s="140"/>
      <c r="K16" s="140"/>
      <c r="L16" s="89">
        <f t="shared" si="3"/>
        <v>0</v>
      </c>
      <c r="M16" s="89">
        <f t="shared" si="1"/>
        <v>2120000</v>
      </c>
      <c r="N16" s="304">
        <f t="shared" si="4"/>
        <v>176666.66666666666</v>
      </c>
      <c r="O16" s="85">
        <f t="shared" si="2"/>
        <v>95400</v>
      </c>
      <c r="P16" s="85">
        <f t="shared" si="5"/>
        <v>74094</v>
      </c>
      <c r="Q16" s="85">
        <f t="shared" si="6"/>
        <v>9091.3337999999985</v>
      </c>
      <c r="R16" s="85">
        <f t="shared" si="11"/>
        <v>24380</v>
      </c>
      <c r="S16" s="85">
        <f t="shared" si="12"/>
        <v>18020</v>
      </c>
      <c r="T16" s="147">
        <f t="shared" si="10"/>
        <v>220985.33379999999</v>
      </c>
      <c r="U16" s="148">
        <f t="shared" si="9"/>
        <v>2517652.0004666667</v>
      </c>
    </row>
    <row r="17" spans="1:21" s="84" customFormat="1" ht="15" customHeight="1">
      <c r="A17" s="88">
        <v>14</v>
      </c>
      <c r="B17" s="138" t="s">
        <v>383</v>
      </c>
      <c r="C17" s="138" t="s">
        <v>367</v>
      </c>
      <c r="D17" s="134" t="str">
        <f t="shared" si="0"/>
        <v>직접비</v>
      </c>
      <c r="E17" s="149">
        <v>2120000</v>
      </c>
      <c r="F17" s="139"/>
      <c r="G17" s="140"/>
      <c r="H17" s="140"/>
      <c r="I17" s="140"/>
      <c r="J17" s="140"/>
      <c r="K17" s="140"/>
      <c r="L17" s="89">
        <f t="shared" si="3"/>
        <v>0</v>
      </c>
      <c r="M17" s="89">
        <f t="shared" si="1"/>
        <v>2120000</v>
      </c>
      <c r="N17" s="304">
        <f t="shared" si="4"/>
        <v>176666.66666666666</v>
      </c>
      <c r="O17" s="85">
        <f t="shared" si="2"/>
        <v>95400</v>
      </c>
      <c r="P17" s="85">
        <f t="shared" si="5"/>
        <v>74094</v>
      </c>
      <c r="Q17" s="85">
        <f t="shared" si="6"/>
        <v>9091.3337999999985</v>
      </c>
      <c r="R17" s="85">
        <f t="shared" si="11"/>
        <v>24380</v>
      </c>
      <c r="S17" s="85">
        <f t="shared" si="12"/>
        <v>18020</v>
      </c>
      <c r="T17" s="147">
        <f t="shared" si="10"/>
        <v>220985.33379999999</v>
      </c>
      <c r="U17" s="148">
        <f t="shared" si="9"/>
        <v>2517652.0004666667</v>
      </c>
    </row>
    <row r="18" spans="1:21" s="84" customFormat="1" ht="15" customHeight="1">
      <c r="A18" s="88">
        <v>15</v>
      </c>
      <c r="B18" s="138" t="s">
        <v>384</v>
      </c>
      <c r="C18" s="138" t="s">
        <v>367</v>
      </c>
      <c r="D18" s="134" t="str">
        <f t="shared" si="0"/>
        <v>직접비</v>
      </c>
      <c r="E18" s="149">
        <v>2120000</v>
      </c>
      <c r="F18" s="139"/>
      <c r="G18" s="140"/>
      <c r="H18" s="140"/>
      <c r="I18" s="140"/>
      <c r="J18" s="140"/>
      <c r="K18" s="140"/>
      <c r="L18" s="89">
        <f t="shared" si="3"/>
        <v>0</v>
      </c>
      <c r="M18" s="89">
        <f t="shared" si="1"/>
        <v>2120000</v>
      </c>
      <c r="N18" s="304">
        <f t="shared" si="4"/>
        <v>176666.66666666666</v>
      </c>
      <c r="O18" s="85">
        <f t="shared" si="2"/>
        <v>95400</v>
      </c>
      <c r="P18" s="85">
        <f t="shared" si="5"/>
        <v>74094</v>
      </c>
      <c r="Q18" s="85">
        <f t="shared" si="6"/>
        <v>9091.3337999999985</v>
      </c>
      <c r="R18" s="85">
        <f t="shared" si="11"/>
        <v>24380</v>
      </c>
      <c r="S18" s="85">
        <f t="shared" si="12"/>
        <v>18020</v>
      </c>
      <c r="T18" s="147">
        <f t="shared" si="10"/>
        <v>220985.33379999999</v>
      </c>
      <c r="U18" s="148">
        <f t="shared" si="9"/>
        <v>2517652.0004666667</v>
      </c>
    </row>
    <row r="19" spans="1:21" s="84" customFormat="1" ht="15" customHeight="1">
      <c r="A19" s="88">
        <v>16</v>
      </c>
      <c r="B19" s="138" t="s">
        <v>385</v>
      </c>
      <c r="C19" s="138" t="s">
        <v>367</v>
      </c>
      <c r="D19" s="134" t="str">
        <f t="shared" si="0"/>
        <v>직접비</v>
      </c>
      <c r="E19" s="149">
        <v>2100000</v>
      </c>
      <c r="F19" s="139"/>
      <c r="G19" s="140"/>
      <c r="H19" s="140"/>
      <c r="I19" s="140"/>
      <c r="J19" s="140"/>
      <c r="K19" s="140"/>
      <c r="L19" s="89">
        <f t="shared" si="3"/>
        <v>0</v>
      </c>
      <c r="M19" s="89">
        <f t="shared" si="1"/>
        <v>2100000</v>
      </c>
      <c r="N19" s="304">
        <f t="shared" si="4"/>
        <v>175000</v>
      </c>
      <c r="O19" s="85">
        <f t="shared" si="2"/>
        <v>94500</v>
      </c>
      <c r="P19" s="85">
        <f t="shared" si="5"/>
        <v>73395</v>
      </c>
      <c r="Q19" s="85">
        <f t="shared" si="6"/>
        <v>9005.566499999999</v>
      </c>
      <c r="R19" s="85">
        <f t="shared" si="11"/>
        <v>24150</v>
      </c>
      <c r="S19" s="85">
        <f t="shared" si="12"/>
        <v>17850</v>
      </c>
      <c r="T19" s="147">
        <f t="shared" ref="T19" si="13">SUM(O19:S19)</f>
        <v>218900.56649999999</v>
      </c>
      <c r="U19" s="148">
        <f t="shared" si="9"/>
        <v>2493900.5665000002</v>
      </c>
    </row>
    <row r="20" spans="1:21" s="84" customFormat="1" ht="15" customHeight="1">
      <c r="A20" s="88">
        <v>17</v>
      </c>
      <c r="B20" s="138" t="s">
        <v>386</v>
      </c>
      <c r="C20" s="138" t="s">
        <v>367</v>
      </c>
      <c r="D20" s="134" t="str">
        <f t="shared" si="0"/>
        <v>직접비</v>
      </c>
      <c r="E20" s="149">
        <v>2100000</v>
      </c>
      <c r="F20" s="139"/>
      <c r="G20" s="140"/>
      <c r="H20" s="140"/>
      <c r="I20" s="140"/>
      <c r="J20" s="140"/>
      <c r="K20" s="140"/>
      <c r="L20" s="89">
        <f t="shared" si="3"/>
        <v>0</v>
      </c>
      <c r="M20" s="89">
        <f t="shared" ref="M20:M35" si="14">E20+L20</f>
        <v>2100000</v>
      </c>
      <c r="N20" s="304">
        <f t="shared" si="4"/>
        <v>175000</v>
      </c>
      <c r="O20" s="85">
        <f t="shared" si="2"/>
        <v>94500</v>
      </c>
      <c r="P20" s="85">
        <f t="shared" si="5"/>
        <v>73395</v>
      </c>
      <c r="Q20" s="85">
        <f t="shared" si="6"/>
        <v>9005.566499999999</v>
      </c>
      <c r="R20" s="85">
        <f t="shared" si="11"/>
        <v>24150</v>
      </c>
      <c r="S20" s="85">
        <f t="shared" si="12"/>
        <v>17850</v>
      </c>
      <c r="T20" s="147">
        <f t="shared" ref="T20:T35" si="15">SUM(O20:S20)</f>
        <v>218900.56649999999</v>
      </c>
      <c r="U20" s="148">
        <f t="shared" si="9"/>
        <v>2493900.5665000002</v>
      </c>
    </row>
    <row r="21" spans="1:21" s="84" customFormat="1" ht="15" customHeight="1">
      <c r="A21" s="88">
        <v>18</v>
      </c>
      <c r="B21" s="138" t="s">
        <v>387</v>
      </c>
      <c r="C21" s="138" t="s">
        <v>367</v>
      </c>
      <c r="D21" s="134" t="str">
        <f t="shared" si="0"/>
        <v>직접비</v>
      </c>
      <c r="E21" s="149">
        <v>2100000</v>
      </c>
      <c r="F21" s="139"/>
      <c r="G21" s="140"/>
      <c r="H21" s="140"/>
      <c r="I21" s="140"/>
      <c r="J21" s="140"/>
      <c r="K21" s="140"/>
      <c r="L21" s="89">
        <f t="shared" si="3"/>
        <v>0</v>
      </c>
      <c r="M21" s="89">
        <f t="shared" si="14"/>
        <v>2100000</v>
      </c>
      <c r="N21" s="304">
        <f t="shared" si="4"/>
        <v>175000</v>
      </c>
      <c r="O21" s="85">
        <f t="shared" si="2"/>
        <v>94500</v>
      </c>
      <c r="P21" s="85">
        <f t="shared" si="5"/>
        <v>73395</v>
      </c>
      <c r="Q21" s="85">
        <f t="shared" si="6"/>
        <v>9005.566499999999</v>
      </c>
      <c r="R21" s="85">
        <f t="shared" si="11"/>
        <v>24150</v>
      </c>
      <c r="S21" s="85">
        <f t="shared" si="12"/>
        <v>17850</v>
      </c>
      <c r="T21" s="147">
        <f t="shared" si="15"/>
        <v>218900.56649999999</v>
      </c>
      <c r="U21" s="148">
        <f t="shared" si="9"/>
        <v>2493900.5665000002</v>
      </c>
    </row>
    <row r="22" spans="1:21" s="84" customFormat="1" ht="15" customHeight="1">
      <c r="A22" s="88">
        <v>19</v>
      </c>
      <c r="B22" s="138"/>
      <c r="C22" s="138"/>
      <c r="D22" s="134"/>
      <c r="E22" s="149"/>
      <c r="F22" s="139"/>
      <c r="G22" s="140"/>
      <c r="H22" s="140"/>
      <c r="I22" s="140"/>
      <c r="J22" s="140"/>
      <c r="K22" s="140"/>
      <c r="L22" s="89">
        <f t="shared" si="3"/>
        <v>0</v>
      </c>
      <c r="M22" s="89">
        <f t="shared" ref="M22:M30" si="16">E22+L22</f>
        <v>0</v>
      </c>
      <c r="N22" s="304">
        <f t="shared" si="4"/>
        <v>0</v>
      </c>
      <c r="O22" s="85">
        <f t="shared" si="2"/>
        <v>0</v>
      </c>
      <c r="P22" s="85">
        <f t="shared" si="5"/>
        <v>0</v>
      </c>
      <c r="Q22" s="85">
        <f t="shared" si="6"/>
        <v>0</v>
      </c>
      <c r="R22" s="85">
        <f t="shared" si="11"/>
        <v>0</v>
      </c>
      <c r="S22" s="85">
        <f t="shared" si="12"/>
        <v>0</v>
      </c>
      <c r="T22" s="147">
        <f t="shared" ref="T22:T30" si="17">SUM(O22:S22)</f>
        <v>0</v>
      </c>
      <c r="U22" s="148">
        <f t="shared" si="9"/>
        <v>0</v>
      </c>
    </row>
    <row r="23" spans="1:21" s="84" customFormat="1" ht="15" customHeight="1">
      <c r="A23" s="88">
        <v>20</v>
      </c>
      <c r="B23" s="138"/>
      <c r="C23" s="138"/>
      <c r="D23" s="134"/>
      <c r="E23" s="149"/>
      <c r="F23" s="139"/>
      <c r="G23" s="140"/>
      <c r="H23" s="140"/>
      <c r="I23" s="140"/>
      <c r="J23" s="140"/>
      <c r="K23" s="140"/>
      <c r="L23" s="89">
        <f t="shared" si="3"/>
        <v>0</v>
      </c>
      <c r="M23" s="89">
        <f t="shared" si="16"/>
        <v>0</v>
      </c>
      <c r="N23" s="304">
        <f t="shared" si="4"/>
        <v>0</v>
      </c>
      <c r="O23" s="85">
        <f t="shared" si="2"/>
        <v>0</v>
      </c>
      <c r="P23" s="85">
        <f t="shared" si="5"/>
        <v>0</v>
      </c>
      <c r="Q23" s="85">
        <f t="shared" si="6"/>
        <v>0</v>
      </c>
      <c r="R23" s="85">
        <f t="shared" si="11"/>
        <v>0</v>
      </c>
      <c r="S23" s="85">
        <f t="shared" si="12"/>
        <v>0</v>
      </c>
      <c r="T23" s="147">
        <f t="shared" si="17"/>
        <v>0</v>
      </c>
      <c r="U23" s="148">
        <f t="shared" si="9"/>
        <v>0</v>
      </c>
    </row>
    <row r="24" spans="1:21" s="84" customFormat="1" ht="15" customHeight="1">
      <c r="A24" s="88">
        <v>21</v>
      </c>
      <c r="B24" s="138"/>
      <c r="C24" s="138"/>
      <c r="D24" s="134"/>
      <c r="E24" s="149"/>
      <c r="F24" s="139"/>
      <c r="G24" s="140"/>
      <c r="H24" s="140"/>
      <c r="I24" s="140"/>
      <c r="J24" s="140"/>
      <c r="K24" s="140"/>
      <c r="L24" s="89">
        <f t="shared" si="3"/>
        <v>0</v>
      </c>
      <c r="M24" s="89">
        <f t="shared" si="16"/>
        <v>0</v>
      </c>
      <c r="N24" s="304">
        <f t="shared" si="4"/>
        <v>0</v>
      </c>
      <c r="O24" s="85">
        <f t="shared" si="2"/>
        <v>0</v>
      </c>
      <c r="P24" s="85">
        <f t="shared" si="5"/>
        <v>0</v>
      </c>
      <c r="Q24" s="85">
        <f t="shared" si="6"/>
        <v>0</v>
      </c>
      <c r="R24" s="85">
        <f t="shared" si="11"/>
        <v>0</v>
      </c>
      <c r="S24" s="85">
        <f t="shared" si="12"/>
        <v>0</v>
      </c>
      <c r="T24" s="147">
        <f t="shared" si="17"/>
        <v>0</v>
      </c>
      <c r="U24" s="148">
        <f t="shared" si="9"/>
        <v>0</v>
      </c>
    </row>
    <row r="25" spans="1:21" s="84" customFormat="1" ht="15" customHeight="1">
      <c r="A25" s="88">
        <v>22</v>
      </c>
      <c r="B25" s="138"/>
      <c r="C25" s="138"/>
      <c r="D25" s="134"/>
      <c r="E25" s="149"/>
      <c r="F25" s="139"/>
      <c r="G25" s="140"/>
      <c r="H25" s="140"/>
      <c r="I25" s="140"/>
      <c r="J25" s="140"/>
      <c r="K25" s="140"/>
      <c r="L25" s="89">
        <f t="shared" si="3"/>
        <v>0</v>
      </c>
      <c r="M25" s="89">
        <f t="shared" si="16"/>
        <v>0</v>
      </c>
      <c r="N25" s="304">
        <f t="shared" si="4"/>
        <v>0</v>
      </c>
      <c r="O25" s="85">
        <f t="shared" si="2"/>
        <v>0</v>
      </c>
      <c r="P25" s="85">
        <f t="shared" si="5"/>
        <v>0</v>
      </c>
      <c r="Q25" s="85">
        <f t="shared" si="6"/>
        <v>0</v>
      </c>
      <c r="R25" s="85">
        <f t="shared" si="11"/>
        <v>0</v>
      </c>
      <c r="S25" s="85">
        <f t="shared" si="12"/>
        <v>0</v>
      </c>
      <c r="T25" s="147">
        <f t="shared" si="17"/>
        <v>0</v>
      </c>
      <c r="U25" s="148">
        <f t="shared" si="9"/>
        <v>0</v>
      </c>
    </row>
    <row r="26" spans="1:21" s="84" customFormat="1" ht="15" customHeight="1">
      <c r="A26" s="88">
        <v>23</v>
      </c>
      <c r="B26" s="138"/>
      <c r="C26" s="138"/>
      <c r="D26" s="134"/>
      <c r="E26" s="149"/>
      <c r="F26" s="139"/>
      <c r="G26" s="140"/>
      <c r="H26" s="140"/>
      <c r="I26" s="140"/>
      <c r="J26" s="140"/>
      <c r="K26" s="140"/>
      <c r="L26" s="89">
        <f t="shared" si="3"/>
        <v>0</v>
      </c>
      <c r="M26" s="89">
        <f t="shared" si="16"/>
        <v>0</v>
      </c>
      <c r="N26" s="304">
        <f t="shared" si="4"/>
        <v>0</v>
      </c>
      <c r="O26" s="85">
        <f t="shared" si="2"/>
        <v>0</v>
      </c>
      <c r="P26" s="85">
        <f t="shared" si="5"/>
        <v>0</v>
      </c>
      <c r="Q26" s="85">
        <f t="shared" si="6"/>
        <v>0</v>
      </c>
      <c r="R26" s="85">
        <f t="shared" si="11"/>
        <v>0</v>
      </c>
      <c r="S26" s="85">
        <f t="shared" si="12"/>
        <v>0</v>
      </c>
      <c r="T26" s="147">
        <f t="shared" si="17"/>
        <v>0</v>
      </c>
      <c r="U26" s="148">
        <f t="shared" si="9"/>
        <v>0</v>
      </c>
    </row>
    <row r="27" spans="1:21" s="84" customFormat="1" ht="15" customHeight="1">
      <c r="A27" s="88">
        <v>24</v>
      </c>
      <c r="B27" s="138"/>
      <c r="C27" s="138"/>
      <c r="D27" s="134"/>
      <c r="E27" s="149"/>
      <c r="F27" s="139"/>
      <c r="G27" s="140"/>
      <c r="H27" s="140"/>
      <c r="I27" s="140"/>
      <c r="J27" s="140"/>
      <c r="K27" s="140"/>
      <c r="L27" s="89">
        <f t="shared" si="3"/>
        <v>0</v>
      </c>
      <c r="M27" s="89">
        <f t="shared" si="16"/>
        <v>0</v>
      </c>
      <c r="N27" s="304">
        <f t="shared" si="4"/>
        <v>0</v>
      </c>
      <c r="O27" s="85">
        <f t="shared" si="2"/>
        <v>0</v>
      </c>
      <c r="P27" s="85">
        <f t="shared" si="5"/>
        <v>0</v>
      </c>
      <c r="Q27" s="85">
        <f t="shared" si="6"/>
        <v>0</v>
      </c>
      <c r="R27" s="85">
        <f t="shared" si="11"/>
        <v>0</v>
      </c>
      <c r="S27" s="85">
        <f t="shared" si="12"/>
        <v>0</v>
      </c>
      <c r="T27" s="147">
        <f t="shared" si="17"/>
        <v>0</v>
      </c>
      <c r="U27" s="148">
        <f t="shared" si="9"/>
        <v>0</v>
      </c>
    </row>
    <row r="28" spans="1:21" s="84" customFormat="1" ht="15" customHeight="1">
      <c r="A28" s="88">
        <v>25</v>
      </c>
      <c r="B28" s="138"/>
      <c r="C28" s="138"/>
      <c r="D28" s="134"/>
      <c r="E28" s="149"/>
      <c r="F28" s="139"/>
      <c r="G28" s="140"/>
      <c r="H28" s="140"/>
      <c r="I28" s="140"/>
      <c r="J28" s="140"/>
      <c r="K28" s="140"/>
      <c r="L28" s="89">
        <f t="shared" si="3"/>
        <v>0</v>
      </c>
      <c r="M28" s="89">
        <f t="shared" si="16"/>
        <v>0</v>
      </c>
      <c r="N28" s="304">
        <f t="shared" si="4"/>
        <v>0</v>
      </c>
      <c r="O28" s="85">
        <f t="shared" si="2"/>
        <v>0</v>
      </c>
      <c r="P28" s="85">
        <f t="shared" si="5"/>
        <v>0</v>
      </c>
      <c r="Q28" s="85">
        <f t="shared" si="6"/>
        <v>0</v>
      </c>
      <c r="R28" s="85">
        <f t="shared" si="11"/>
        <v>0</v>
      </c>
      <c r="S28" s="85">
        <f t="shared" si="12"/>
        <v>0</v>
      </c>
      <c r="T28" s="147">
        <f t="shared" si="17"/>
        <v>0</v>
      </c>
      <c r="U28" s="148">
        <f t="shared" si="9"/>
        <v>0</v>
      </c>
    </row>
    <row r="29" spans="1:21" s="84" customFormat="1" ht="15" customHeight="1">
      <c r="A29" s="88">
        <v>26</v>
      </c>
      <c r="B29" s="138"/>
      <c r="C29" s="138"/>
      <c r="D29" s="134"/>
      <c r="E29" s="149"/>
      <c r="F29" s="139"/>
      <c r="G29" s="140"/>
      <c r="H29" s="140"/>
      <c r="I29" s="140"/>
      <c r="J29" s="140"/>
      <c r="K29" s="140"/>
      <c r="L29" s="89">
        <f t="shared" si="3"/>
        <v>0</v>
      </c>
      <c r="M29" s="89">
        <f t="shared" si="16"/>
        <v>0</v>
      </c>
      <c r="N29" s="304">
        <f t="shared" si="4"/>
        <v>0</v>
      </c>
      <c r="O29" s="85">
        <f t="shared" si="2"/>
        <v>0</v>
      </c>
      <c r="P29" s="85">
        <f t="shared" si="5"/>
        <v>0</v>
      </c>
      <c r="Q29" s="85">
        <f t="shared" si="6"/>
        <v>0</v>
      </c>
      <c r="R29" s="85">
        <f t="shared" si="11"/>
        <v>0</v>
      </c>
      <c r="S29" s="85">
        <f t="shared" si="12"/>
        <v>0</v>
      </c>
      <c r="T29" s="147">
        <f t="shared" si="17"/>
        <v>0</v>
      </c>
      <c r="U29" s="148">
        <f t="shared" si="9"/>
        <v>0</v>
      </c>
    </row>
    <row r="30" spans="1:21" s="84" customFormat="1" ht="15" customHeight="1">
      <c r="A30" s="88">
        <v>27</v>
      </c>
      <c r="B30" s="138"/>
      <c r="C30" s="138"/>
      <c r="D30" s="134"/>
      <c r="E30" s="149"/>
      <c r="F30" s="139"/>
      <c r="G30" s="140"/>
      <c r="H30" s="140"/>
      <c r="I30" s="140"/>
      <c r="J30" s="140"/>
      <c r="K30" s="140"/>
      <c r="L30" s="89">
        <f t="shared" si="3"/>
        <v>0</v>
      </c>
      <c r="M30" s="89">
        <f t="shared" si="16"/>
        <v>0</v>
      </c>
      <c r="N30" s="304">
        <f t="shared" si="4"/>
        <v>0</v>
      </c>
      <c r="O30" s="85">
        <f t="shared" si="2"/>
        <v>0</v>
      </c>
      <c r="P30" s="85">
        <f t="shared" si="5"/>
        <v>0</v>
      </c>
      <c r="Q30" s="85">
        <f t="shared" si="6"/>
        <v>0</v>
      </c>
      <c r="R30" s="85">
        <f t="shared" si="11"/>
        <v>0</v>
      </c>
      <c r="S30" s="85">
        <f t="shared" si="12"/>
        <v>0</v>
      </c>
      <c r="T30" s="147">
        <f t="shared" si="17"/>
        <v>0</v>
      </c>
      <c r="U30" s="148">
        <f t="shared" si="9"/>
        <v>0</v>
      </c>
    </row>
    <row r="31" spans="1:21" s="84" customFormat="1" ht="15" customHeight="1">
      <c r="A31" s="88">
        <v>28</v>
      </c>
      <c r="B31" s="138"/>
      <c r="C31" s="138"/>
      <c r="D31" s="134"/>
      <c r="E31" s="149"/>
      <c r="F31" s="139"/>
      <c r="G31" s="140"/>
      <c r="H31" s="140"/>
      <c r="I31" s="140"/>
      <c r="J31" s="140"/>
      <c r="K31" s="140"/>
      <c r="L31" s="89">
        <f t="shared" si="3"/>
        <v>0</v>
      </c>
      <c r="M31" s="89">
        <f t="shared" si="14"/>
        <v>0</v>
      </c>
      <c r="N31" s="304">
        <f t="shared" si="4"/>
        <v>0</v>
      </c>
      <c r="O31" s="85">
        <f t="shared" si="2"/>
        <v>0</v>
      </c>
      <c r="P31" s="85">
        <f t="shared" si="5"/>
        <v>0</v>
      </c>
      <c r="Q31" s="85">
        <f t="shared" si="6"/>
        <v>0</v>
      </c>
      <c r="R31" s="85">
        <f t="shared" si="11"/>
        <v>0</v>
      </c>
      <c r="S31" s="85">
        <f t="shared" si="12"/>
        <v>0</v>
      </c>
      <c r="T31" s="147">
        <f t="shared" si="15"/>
        <v>0</v>
      </c>
      <c r="U31" s="148">
        <f t="shared" si="9"/>
        <v>0</v>
      </c>
    </row>
    <row r="32" spans="1:21" s="84" customFormat="1" ht="15" customHeight="1">
      <c r="A32" s="88">
        <v>29</v>
      </c>
      <c r="B32" s="138"/>
      <c r="C32" s="138"/>
      <c r="D32" s="134"/>
      <c r="E32" s="149"/>
      <c r="F32" s="139"/>
      <c r="G32" s="140"/>
      <c r="H32" s="140"/>
      <c r="I32" s="140"/>
      <c r="J32" s="140"/>
      <c r="K32" s="140"/>
      <c r="L32" s="89">
        <f t="shared" si="3"/>
        <v>0</v>
      </c>
      <c r="M32" s="89">
        <f t="shared" si="14"/>
        <v>0</v>
      </c>
      <c r="N32" s="304">
        <f t="shared" si="4"/>
        <v>0</v>
      </c>
      <c r="O32" s="85">
        <f t="shared" si="2"/>
        <v>0</v>
      </c>
      <c r="P32" s="85">
        <f t="shared" si="5"/>
        <v>0</v>
      </c>
      <c r="Q32" s="85">
        <f t="shared" si="6"/>
        <v>0</v>
      </c>
      <c r="R32" s="85">
        <f t="shared" si="11"/>
        <v>0</v>
      </c>
      <c r="S32" s="85">
        <f t="shared" si="12"/>
        <v>0</v>
      </c>
      <c r="T32" s="147">
        <f t="shared" si="15"/>
        <v>0</v>
      </c>
      <c r="U32" s="148">
        <f t="shared" si="9"/>
        <v>0</v>
      </c>
    </row>
    <row r="33" spans="1:21" s="84" customFormat="1" ht="15" customHeight="1">
      <c r="A33" s="88">
        <v>30</v>
      </c>
      <c r="B33" s="138"/>
      <c r="C33" s="138"/>
      <c r="D33" s="134"/>
      <c r="E33" s="149"/>
      <c r="F33" s="139"/>
      <c r="G33" s="140"/>
      <c r="H33" s="140"/>
      <c r="I33" s="140"/>
      <c r="J33" s="140"/>
      <c r="K33" s="140"/>
      <c r="L33" s="89">
        <f t="shared" si="3"/>
        <v>0</v>
      </c>
      <c r="M33" s="89">
        <f t="shared" si="14"/>
        <v>0</v>
      </c>
      <c r="N33" s="304">
        <f t="shared" si="4"/>
        <v>0</v>
      </c>
      <c r="O33" s="85">
        <f t="shared" si="2"/>
        <v>0</v>
      </c>
      <c r="P33" s="85">
        <f t="shared" si="5"/>
        <v>0</v>
      </c>
      <c r="Q33" s="85">
        <f t="shared" si="6"/>
        <v>0</v>
      </c>
      <c r="R33" s="85">
        <f t="shared" si="11"/>
        <v>0</v>
      </c>
      <c r="S33" s="85">
        <f t="shared" si="12"/>
        <v>0</v>
      </c>
      <c r="T33" s="147">
        <f t="shared" si="15"/>
        <v>0</v>
      </c>
      <c r="U33" s="148">
        <f t="shared" si="9"/>
        <v>0</v>
      </c>
    </row>
    <row r="34" spans="1:21" s="84" customFormat="1" ht="15" customHeight="1">
      <c r="A34" s="88">
        <v>31</v>
      </c>
      <c r="B34" s="138"/>
      <c r="C34" s="138"/>
      <c r="D34" s="134"/>
      <c r="E34" s="149"/>
      <c r="F34" s="139"/>
      <c r="G34" s="140"/>
      <c r="H34" s="140"/>
      <c r="I34" s="140"/>
      <c r="J34" s="140"/>
      <c r="K34" s="140"/>
      <c r="L34" s="89">
        <f t="shared" si="3"/>
        <v>0</v>
      </c>
      <c r="M34" s="89">
        <f t="shared" si="14"/>
        <v>0</v>
      </c>
      <c r="N34" s="304">
        <f t="shared" si="4"/>
        <v>0</v>
      </c>
      <c r="O34" s="85">
        <f t="shared" si="2"/>
        <v>0</v>
      </c>
      <c r="P34" s="85">
        <f t="shared" si="5"/>
        <v>0</v>
      </c>
      <c r="Q34" s="85">
        <f t="shared" si="6"/>
        <v>0</v>
      </c>
      <c r="R34" s="85">
        <f t="shared" si="11"/>
        <v>0</v>
      </c>
      <c r="S34" s="85">
        <f t="shared" si="12"/>
        <v>0</v>
      </c>
      <c r="T34" s="147">
        <f t="shared" si="15"/>
        <v>0</v>
      </c>
      <c r="U34" s="148">
        <f t="shared" si="9"/>
        <v>0</v>
      </c>
    </row>
    <row r="35" spans="1:21" s="84" customFormat="1" ht="15" customHeight="1">
      <c r="A35" s="88">
        <v>32</v>
      </c>
      <c r="B35" s="138"/>
      <c r="C35" s="138"/>
      <c r="D35" s="134"/>
      <c r="E35" s="149"/>
      <c r="F35" s="139"/>
      <c r="G35" s="140"/>
      <c r="H35" s="140"/>
      <c r="I35" s="140"/>
      <c r="J35" s="140"/>
      <c r="K35" s="140"/>
      <c r="L35" s="89">
        <f t="shared" si="3"/>
        <v>0</v>
      </c>
      <c r="M35" s="89">
        <f t="shared" si="14"/>
        <v>0</v>
      </c>
      <c r="N35" s="304">
        <f t="shared" si="4"/>
        <v>0</v>
      </c>
      <c r="O35" s="85">
        <f t="shared" si="2"/>
        <v>0</v>
      </c>
      <c r="P35" s="85">
        <f t="shared" si="5"/>
        <v>0</v>
      </c>
      <c r="Q35" s="85">
        <f t="shared" si="6"/>
        <v>0</v>
      </c>
      <c r="R35" s="85">
        <f t="shared" si="11"/>
        <v>0</v>
      </c>
      <c r="S35" s="85">
        <f t="shared" si="12"/>
        <v>0</v>
      </c>
      <c r="T35" s="147">
        <f t="shared" si="15"/>
        <v>0</v>
      </c>
      <c r="U35" s="148">
        <f t="shared" si="9"/>
        <v>0</v>
      </c>
    </row>
    <row r="36" spans="1:21" s="84" customFormat="1" ht="15" customHeight="1">
      <c r="A36" s="305" t="s">
        <v>272</v>
      </c>
      <c r="B36" s="306"/>
      <c r="C36" s="307"/>
      <c r="D36" s="308"/>
      <c r="E36" s="309">
        <f t="shared" ref="E36:U36" si="18">SUMIF($D$4:$D$35,"직접비",E4:E35)</f>
        <v>33295000</v>
      </c>
      <c r="F36" s="309">
        <f t="shared" si="18"/>
        <v>0</v>
      </c>
      <c r="G36" s="309">
        <f t="shared" si="18"/>
        <v>0</v>
      </c>
      <c r="H36" s="309">
        <f t="shared" si="18"/>
        <v>0</v>
      </c>
      <c r="I36" s="309">
        <f t="shared" si="18"/>
        <v>0</v>
      </c>
      <c r="J36" s="309">
        <f t="shared" si="18"/>
        <v>0</v>
      </c>
      <c r="K36" s="309">
        <f t="shared" si="18"/>
        <v>0</v>
      </c>
      <c r="L36" s="309">
        <f t="shared" si="18"/>
        <v>0</v>
      </c>
      <c r="M36" s="309">
        <f t="shared" si="18"/>
        <v>33295000</v>
      </c>
      <c r="N36" s="309">
        <f t="shared" si="18"/>
        <v>2774583.333333333</v>
      </c>
      <c r="O36" s="309">
        <f t="shared" si="18"/>
        <v>1498275</v>
      </c>
      <c r="P36" s="309">
        <f t="shared" si="18"/>
        <v>1163660.25</v>
      </c>
      <c r="Q36" s="309">
        <f t="shared" si="18"/>
        <v>142781.11267499995</v>
      </c>
      <c r="R36" s="309">
        <f t="shared" si="18"/>
        <v>372567.5</v>
      </c>
      <c r="S36" s="309">
        <f t="shared" si="18"/>
        <v>282035</v>
      </c>
      <c r="T36" s="309">
        <f t="shared" si="18"/>
        <v>3459318.8626750014</v>
      </c>
      <c r="U36" s="309">
        <f t="shared" si="18"/>
        <v>39528902.19600834</v>
      </c>
    </row>
    <row r="37" spans="1:21" s="84" customFormat="1" ht="15" customHeight="1">
      <c r="A37" s="305" t="s">
        <v>273</v>
      </c>
      <c r="B37" s="306"/>
      <c r="C37" s="307"/>
      <c r="D37" s="308"/>
      <c r="E37" s="309">
        <f t="shared" ref="E37:U37" si="19">SUMIF($D$4:$D$35,"간접비",E4:E35)</f>
        <v>5145000</v>
      </c>
      <c r="F37" s="309">
        <f t="shared" si="19"/>
        <v>0</v>
      </c>
      <c r="G37" s="309">
        <f t="shared" si="19"/>
        <v>0</v>
      </c>
      <c r="H37" s="309">
        <f t="shared" si="19"/>
        <v>0</v>
      </c>
      <c r="I37" s="309">
        <f t="shared" si="19"/>
        <v>0</v>
      </c>
      <c r="J37" s="309">
        <f t="shared" si="19"/>
        <v>0</v>
      </c>
      <c r="K37" s="309">
        <f t="shared" si="19"/>
        <v>0</v>
      </c>
      <c r="L37" s="309">
        <f t="shared" si="19"/>
        <v>0</v>
      </c>
      <c r="M37" s="309">
        <f t="shared" si="19"/>
        <v>5145000</v>
      </c>
      <c r="N37" s="309">
        <f t="shared" si="19"/>
        <v>162083.33333333334</v>
      </c>
      <c r="O37" s="309">
        <f t="shared" si="19"/>
        <v>231525</v>
      </c>
      <c r="P37" s="309">
        <f t="shared" si="19"/>
        <v>179817.75</v>
      </c>
      <c r="Q37" s="309">
        <f t="shared" si="19"/>
        <v>22063.637924999995</v>
      </c>
      <c r="R37" s="309">
        <f t="shared" si="19"/>
        <v>20422.5</v>
      </c>
      <c r="S37" s="309">
        <f t="shared" si="19"/>
        <v>16532.5</v>
      </c>
      <c r="T37" s="309">
        <f t="shared" si="19"/>
        <v>470361.38792499999</v>
      </c>
      <c r="U37" s="309">
        <f t="shared" si="19"/>
        <v>5777444.7212583339</v>
      </c>
    </row>
    <row r="38" spans="1:21" s="84" customFormat="1" ht="15" customHeight="1">
      <c r="A38" s="305" t="s">
        <v>269</v>
      </c>
      <c r="B38" s="306"/>
      <c r="C38" s="307"/>
      <c r="D38" s="308"/>
      <c r="E38" s="309">
        <f t="shared" ref="E38:U38" si="20">SUM(E4:E35)</f>
        <v>38440000</v>
      </c>
      <c r="F38" s="309">
        <f t="shared" si="20"/>
        <v>0</v>
      </c>
      <c r="G38" s="309">
        <f t="shared" si="20"/>
        <v>0</v>
      </c>
      <c r="H38" s="309">
        <f t="shared" si="20"/>
        <v>0</v>
      </c>
      <c r="I38" s="309">
        <f t="shared" si="20"/>
        <v>0</v>
      </c>
      <c r="J38" s="309">
        <f t="shared" si="20"/>
        <v>0</v>
      </c>
      <c r="K38" s="309">
        <f t="shared" si="20"/>
        <v>0</v>
      </c>
      <c r="L38" s="309">
        <f t="shared" si="20"/>
        <v>0</v>
      </c>
      <c r="M38" s="309">
        <f t="shared" si="20"/>
        <v>38440000</v>
      </c>
      <c r="N38" s="309">
        <f t="shared" si="20"/>
        <v>2936666.666666666</v>
      </c>
      <c r="O38" s="309">
        <f t="shared" si="20"/>
        <v>1729800</v>
      </c>
      <c r="P38" s="309">
        <f t="shared" si="20"/>
        <v>1343478</v>
      </c>
      <c r="Q38" s="309">
        <f t="shared" si="20"/>
        <v>164844.75059999994</v>
      </c>
      <c r="R38" s="309">
        <f t="shared" si="20"/>
        <v>392990</v>
      </c>
      <c r="S38" s="309">
        <f t="shared" si="20"/>
        <v>298567.5</v>
      </c>
      <c r="T38" s="309">
        <f t="shared" si="20"/>
        <v>3929680.2506000008</v>
      </c>
      <c r="U38" s="309">
        <f t="shared" si="20"/>
        <v>45306346.917266674</v>
      </c>
    </row>
    <row r="39" spans="1:21" s="84" customFormat="1" ht="15" customHeight="1">
      <c r="A39" s="141" t="s">
        <v>274</v>
      </c>
      <c r="B39" s="142"/>
      <c r="C39" s="126"/>
      <c r="D39" s="103"/>
      <c r="E39" s="100">
        <f>SUMIF($D$4:$D$35,"직접비",E4:E35)*세입명세서!$M$7</f>
        <v>399540000</v>
      </c>
      <c r="F39" s="100">
        <f>SUMIF($D$4:$D$35,"직접비",F4:F35)*세입명세서!$M$7</f>
        <v>0</v>
      </c>
      <c r="G39" s="100">
        <f>SUMIF($D$4:$D$35,"직접비",G4:G35)*세입명세서!$M$7</f>
        <v>0</v>
      </c>
      <c r="H39" s="100">
        <f>SUMIF($D$4:$D$35,"직접비",H4:H35)*세입명세서!$M$7</f>
        <v>0</v>
      </c>
      <c r="I39" s="100">
        <f>SUMIF($D$4:$D$35,"직접비",I4:I35)*세입명세서!$M$7</f>
        <v>0</v>
      </c>
      <c r="J39" s="100">
        <f>SUMIF($D$4:$D$35,"직접비",J4:J35)*세입명세서!$M$7</f>
        <v>0</v>
      </c>
      <c r="K39" s="100">
        <f>SUMIF($D$4:$D$35,"직접비",K4:K35)*세입명세서!$M$7</f>
        <v>0</v>
      </c>
      <c r="L39" s="100">
        <f>SUMIF($D$4:$D$35,"직접비",L4:L35)*세입명세서!$M$7</f>
        <v>0</v>
      </c>
      <c r="M39" s="100">
        <f>SUMIF($D$4:$D$35,"직접비",M4:M35)*세입명세서!$M$7</f>
        <v>399540000</v>
      </c>
      <c r="N39" s="100">
        <f>SUMIF($D$4:$D$35,"직접비",N4:N35)*세입명세서!$M$7</f>
        <v>33294999.999999996</v>
      </c>
      <c r="O39" s="100">
        <f>SUMIF($D$4:$D$35,"직접비",O4:O35)*세입명세서!$M$7</f>
        <v>17979300</v>
      </c>
      <c r="P39" s="100">
        <f>SUMIF($D$4:$D$35,"직접비",P4:P35)*세입명세서!$M$7</f>
        <v>13963923</v>
      </c>
      <c r="Q39" s="100">
        <f>SUMIF($D$4:$D$35,"직접비",Q4:Q35)*세입명세서!$M$7</f>
        <v>1713373.3520999993</v>
      </c>
      <c r="R39" s="100">
        <f>SUMIF($D$4:$D$35,"직접비",R4:R35)*세입명세서!$M$7</f>
        <v>4470810</v>
      </c>
      <c r="S39" s="100">
        <f>SUMIF($D$4:$D$35,"직접비",S4:S35)*세입명세서!$M$7</f>
        <v>3384420</v>
      </c>
      <c r="T39" s="100">
        <f>SUMIF($D$4:$D$35,"직접비",T4:T35)*세입명세서!$M$7</f>
        <v>41511826.352100015</v>
      </c>
      <c r="U39" s="100">
        <f>SUMIF($D$4:$D$35,"직접비",U4:U35)*세입명세서!$M$7</f>
        <v>474346826.35210007</v>
      </c>
    </row>
    <row r="40" spans="1:21" s="84" customFormat="1" ht="15" customHeight="1">
      <c r="A40" s="141" t="s">
        <v>275</v>
      </c>
      <c r="B40" s="142"/>
      <c r="C40" s="126"/>
      <c r="D40" s="103"/>
      <c r="E40" s="100">
        <f>SUMIF($D$4:$D$35,"간접비",E4:E35)*세입명세서!$M$7</f>
        <v>61740000</v>
      </c>
      <c r="F40" s="100">
        <f>SUMIF($D$4:$D$35,"간접비",F4:F35)*세입명세서!$M$7</f>
        <v>0</v>
      </c>
      <c r="G40" s="100">
        <f>SUMIF($D$4:$D$35,"간접비",G4:G35)*세입명세서!$M$7</f>
        <v>0</v>
      </c>
      <c r="H40" s="100">
        <f>SUMIF($D$4:$D$35,"간접비",H4:H35)*세입명세서!$M$7</f>
        <v>0</v>
      </c>
      <c r="I40" s="100">
        <f>SUMIF($D$4:$D$35,"간접비",I4:I35)*세입명세서!$M$7</f>
        <v>0</v>
      </c>
      <c r="J40" s="100">
        <f>SUMIF($D$4:$D$35,"간접비",J4:J35)*세입명세서!$M$7</f>
        <v>0</v>
      </c>
      <c r="K40" s="100">
        <f>SUMIF($D$4:$D$35,"간접비",K4:K35)*세입명세서!$M$7</f>
        <v>0</v>
      </c>
      <c r="L40" s="100">
        <f>SUMIF($D$4:$D$35,"간접비",L4:L35)*세입명세서!$M$7</f>
        <v>0</v>
      </c>
      <c r="M40" s="100">
        <f>SUMIF($D$4:$D$35,"간접비",M4:M35)*세입명세서!$M$7</f>
        <v>61740000</v>
      </c>
      <c r="N40" s="100">
        <f>SUMIF($D$4:$D$35,"간접비",N4:N35)*세입명세서!$M$7</f>
        <v>1945000</v>
      </c>
      <c r="O40" s="100">
        <f>SUMIF($D$4:$D$35,"간접비",O4:O35)*세입명세서!$M$7</f>
        <v>2778300</v>
      </c>
      <c r="P40" s="100">
        <f>SUMIF($D$4:$D$35,"간접비",P4:P35)*세입명세서!$M$7</f>
        <v>2157813</v>
      </c>
      <c r="Q40" s="100">
        <f>SUMIF($D$4:$D$35,"간접비",Q4:Q35)*세입명세서!$M$7</f>
        <v>264763.65509999997</v>
      </c>
      <c r="R40" s="100">
        <f>SUMIF($D$4:$D$35,"간접비",R4:R35)*세입명세서!$M$7</f>
        <v>245070</v>
      </c>
      <c r="S40" s="100">
        <f>SUMIF($D$4:$D$35,"간접비",S4:S35)*세입명세서!$M$7</f>
        <v>198390</v>
      </c>
      <c r="T40" s="100">
        <f>SUMIF($D$4:$D$35,"간접비",T4:T35)*세입명세서!$M$7</f>
        <v>5644336.6551000001</v>
      </c>
      <c r="U40" s="100">
        <f>SUMIF($D$4:$D$35,"간접비",U4:U35)*세입명세서!$M$7</f>
        <v>69329336.655100003</v>
      </c>
    </row>
    <row r="41" spans="1:21" s="84" customFormat="1" ht="15" customHeight="1">
      <c r="A41" s="141" t="s">
        <v>270</v>
      </c>
      <c r="B41" s="142"/>
      <c r="C41" s="126"/>
      <c r="D41" s="103"/>
      <c r="E41" s="100">
        <f>E38*세입명세서!$M$7</f>
        <v>461280000</v>
      </c>
      <c r="F41" s="100">
        <f>F38*세입명세서!$M$7</f>
        <v>0</v>
      </c>
      <c r="G41" s="100">
        <f>G38*세입명세서!$M$7</f>
        <v>0</v>
      </c>
      <c r="H41" s="100">
        <f>H38*세입명세서!$M$7</f>
        <v>0</v>
      </c>
      <c r="I41" s="100">
        <f>I38*세입명세서!$M$7</f>
        <v>0</v>
      </c>
      <c r="J41" s="100">
        <f>J38*세입명세서!$M$7</f>
        <v>0</v>
      </c>
      <c r="K41" s="100">
        <f>K38*세입명세서!$M$7</f>
        <v>0</v>
      </c>
      <c r="L41" s="100">
        <f>L38*세입명세서!$M$7</f>
        <v>0</v>
      </c>
      <c r="M41" s="100">
        <f>M38*세입명세서!$M$7</f>
        <v>461280000</v>
      </c>
      <c r="N41" s="100">
        <f>N38*세입명세서!$M$7</f>
        <v>35239999.999999993</v>
      </c>
      <c r="O41" s="100">
        <f>O38*세입명세서!$M$7</f>
        <v>20757600</v>
      </c>
      <c r="P41" s="100">
        <f>P38*세입명세서!$M$7</f>
        <v>16121736</v>
      </c>
      <c r="Q41" s="100">
        <f>Q38*세입명세서!$M$7</f>
        <v>1978137.0071999994</v>
      </c>
      <c r="R41" s="100">
        <f>R38*세입명세서!$M$7</f>
        <v>4715880</v>
      </c>
      <c r="S41" s="100">
        <f>S38*세입명세서!$M$7</f>
        <v>3582810</v>
      </c>
      <c r="T41" s="100">
        <f>T38*세입명세서!$M$7</f>
        <v>47156163.00720001</v>
      </c>
      <c r="U41" s="100">
        <f>U38*세입명세서!$M$7</f>
        <v>543676163.00720012</v>
      </c>
    </row>
    <row r="43" spans="1:21" s="263" customFormat="1">
      <c r="A43" s="261"/>
      <c r="B43" s="262"/>
      <c r="C43" s="262"/>
      <c r="D43" s="262"/>
      <c r="E43" s="263">
        <f>세출명세서!E7</f>
        <v>461280000</v>
      </c>
      <c r="J43" s="264"/>
      <c r="K43" s="264"/>
      <c r="L43" s="263" t="s">
        <v>388</v>
      </c>
      <c r="N43" s="263" t="s">
        <v>388</v>
      </c>
      <c r="T43" s="263" t="s">
        <v>388</v>
      </c>
      <c r="U43" s="263" t="s">
        <v>388</v>
      </c>
    </row>
    <row r="44" spans="1:21">
      <c r="J44" s="99"/>
      <c r="K44" s="99"/>
    </row>
    <row r="45" spans="1:21">
      <c r="J45" s="99"/>
      <c r="K45" s="99"/>
    </row>
    <row r="46" spans="1:21">
      <c r="J46" s="99"/>
      <c r="K46" s="99"/>
    </row>
    <row r="47" spans="1:21">
      <c r="J47" s="99"/>
      <c r="K47" s="99"/>
    </row>
    <row r="48" spans="1:21">
      <c r="J48" s="99"/>
      <c r="K48" s="99"/>
    </row>
    <row r="52" spans="21:21">
      <c r="U52" s="101"/>
    </row>
  </sheetData>
  <sheetProtection selectLockedCells="1"/>
  <autoFilter ref="A3:U41">
    <sortState ref="A5:AA38">
      <sortCondition ref="D3:D38"/>
    </sortState>
  </autoFilter>
  <mergeCells count="10">
    <mergeCell ref="O2:S2"/>
    <mergeCell ref="U2:U3"/>
    <mergeCell ref="A1:C1"/>
    <mergeCell ref="E1:U1"/>
    <mergeCell ref="A2:A3"/>
    <mergeCell ref="B2:D2"/>
    <mergeCell ref="E2:E3"/>
    <mergeCell ref="F2:L2"/>
    <mergeCell ref="M2:M3"/>
    <mergeCell ref="N2:N3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0000"/>
  </sheetPr>
  <dimension ref="A1:N37"/>
  <sheetViews>
    <sheetView workbookViewId="0">
      <selection activeCell="G17" sqref="G17"/>
    </sheetView>
  </sheetViews>
  <sheetFormatPr defaultRowHeight="16.5"/>
  <cols>
    <col min="1" max="1" width="11" bestFit="1" customWidth="1"/>
    <col min="2" max="2" width="17.25" bestFit="1" customWidth="1"/>
    <col min="5" max="5" width="9.75" bestFit="1" customWidth="1"/>
    <col min="7" max="7" width="10.875" bestFit="1" customWidth="1"/>
    <col min="10" max="10" width="9.375" bestFit="1" customWidth="1"/>
    <col min="14" max="14" width="10.875" bestFit="1" customWidth="1"/>
  </cols>
  <sheetData>
    <row r="1" spans="1:14" ht="34.5" thickBot="1">
      <c r="A1" s="465" t="s">
        <v>392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</row>
    <row r="2" spans="1:14" ht="18" customHeight="1">
      <c r="A2" s="466" t="s">
        <v>314</v>
      </c>
      <c r="B2" s="468" t="s">
        <v>183</v>
      </c>
      <c r="C2" s="470" t="s">
        <v>315</v>
      </c>
      <c r="D2" s="470" t="s">
        <v>391</v>
      </c>
      <c r="E2" s="470" t="s">
        <v>316</v>
      </c>
      <c r="F2" s="468" t="s">
        <v>317</v>
      </c>
      <c r="G2" s="472" t="s">
        <v>184</v>
      </c>
      <c r="H2" s="468" t="s">
        <v>318</v>
      </c>
      <c r="I2" s="468"/>
      <c r="J2" s="468"/>
      <c r="K2" s="468"/>
      <c r="L2" s="468"/>
      <c r="M2" s="468"/>
      <c r="N2" s="474" t="s">
        <v>319</v>
      </c>
    </row>
    <row r="3" spans="1:14" ht="24" customHeight="1">
      <c r="A3" s="467"/>
      <c r="B3" s="469"/>
      <c r="C3" s="471"/>
      <c r="D3" s="469"/>
      <c r="E3" s="469"/>
      <c r="F3" s="469"/>
      <c r="G3" s="473"/>
      <c r="H3" s="168" t="s">
        <v>185</v>
      </c>
      <c r="I3" s="168" t="s">
        <v>186</v>
      </c>
      <c r="J3" s="168" t="s">
        <v>187</v>
      </c>
      <c r="K3" s="168" t="s">
        <v>320</v>
      </c>
      <c r="L3" s="168" t="s">
        <v>234</v>
      </c>
      <c r="M3" s="169" t="s">
        <v>182</v>
      </c>
      <c r="N3" s="475"/>
    </row>
    <row r="4" spans="1:14">
      <c r="A4" s="460" t="s">
        <v>321</v>
      </c>
      <c r="B4" s="310" t="s">
        <v>322</v>
      </c>
      <c r="C4" s="311" t="s">
        <v>390</v>
      </c>
      <c r="D4" s="312">
        <v>3</v>
      </c>
      <c r="E4" s="313">
        <v>209</v>
      </c>
      <c r="F4" s="463">
        <v>9160</v>
      </c>
      <c r="G4" s="314">
        <f>E4*$F$4</f>
        <v>1914440</v>
      </c>
      <c r="H4" s="315">
        <v>0</v>
      </c>
      <c r="I4" s="315">
        <v>119407</v>
      </c>
      <c r="J4" s="315"/>
      <c r="K4" s="315"/>
      <c r="L4" s="315"/>
      <c r="M4" s="314">
        <f>SUM(H4:L4)</f>
        <v>119407</v>
      </c>
      <c r="N4" s="316">
        <f>ROUND(G4+M4,1)</f>
        <v>2033847</v>
      </c>
    </row>
    <row r="5" spans="1:14">
      <c r="A5" s="461"/>
      <c r="B5" s="310" t="s">
        <v>188</v>
      </c>
      <c r="C5" s="311" t="s">
        <v>323</v>
      </c>
      <c r="D5" s="312">
        <v>3</v>
      </c>
      <c r="E5" s="313">
        <v>195</v>
      </c>
      <c r="F5" s="463"/>
      <c r="G5" s="317">
        <f t="shared" ref="G5:G26" si="0">E5*$F$4</f>
        <v>1786200</v>
      </c>
      <c r="H5" s="315">
        <v>0</v>
      </c>
      <c r="I5" s="315">
        <v>139690</v>
      </c>
      <c r="J5" s="315"/>
      <c r="K5" s="315"/>
      <c r="L5" s="315"/>
      <c r="M5" s="317">
        <f t="shared" ref="M5:M26" si="1">SUM(H5:L5)</f>
        <v>139690</v>
      </c>
      <c r="N5" s="316">
        <f t="shared" ref="N5:N26" si="2">ROUND(G5+M5,1)</f>
        <v>1925890</v>
      </c>
    </row>
    <row r="6" spans="1:14">
      <c r="A6" s="461"/>
      <c r="B6" s="310" t="s">
        <v>188</v>
      </c>
      <c r="C6" s="311" t="s">
        <v>324</v>
      </c>
      <c r="D6" s="312">
        <v>3</v>
      </c>
      <c r="E6" s="313">
        <v>209</v>
      </c>
      <c r="F6" s="463"/>
      <c r="G6" s="317">
        <f t="shared" si="0"/>
        <v>1914440</v>
      </c>
      <c r="H6" s="315">
        <v>0</v>
      </c>
      <c r="I6" s="315">
        <v>139690</v>
      </c>
      <c r="J6" s="315"/>
      <c r="K6" s="315"/>
      <c r="L6" s="315"/>
      <c r="M6" s="317">
        <f t="shared" si="1"/>
        <v>139690</v>
      </c>
      <c r="N6" s="316">
        <f t="shared" si="2"/>
        <v>2054130</v>
      </c>
    </row>
    <row r="7" spans="1:14">
      <c r="A7" s="461"/>
      <c r="B7" s="318" t="s">
        <v>325</v>
      </c>
      <c r="C7" s="312">
        <v>16</v>
      </c>
      <c r="D7" s="312">
        <v>5</v>
      </c>
      <c r="E7" s="313">
        <v>209</v>
      </c>
      <c r="F7" s="463"/>
      <c r="G7" s="317">
        <f t="shared" si="0"/>
        <v>1914440</v>
      </c>
      <c r="H7" s="315">
        <v>0</v>
      </c>
      <c r="I7" s="315">
        <v>232206</v>
      </c>
      <c r="J7" s="315"/>
      <c r="K7" s="315"/>
      <c r="L7" s="315"/>
      <c r="M7" s="317">
        <f t="shared" si="1"/>
        <v>232206</v>
      </c>
      <c r="N7" s="316">
        <f t="shared" si="2"/>
        <v>2146646</v>
      </c>
    </row>
    <row r="8" spans="1:14">
      <c r="A8" s="461"/>
      <c r="B8" s="318" t="s">
        <v>189</v>
      </c>
      <c r="C8" s="312">
        <v>16</v>
      </c>
      <c r="D8" s="312">
        <v>4</v>
      </c>
      <c r="E8" s="313">
        <v>209</v>
      </c>
      <c r="F8" s="463"/>
      <c r="G8" s="317">
        <f t="shared" si="0"/>
        <v>1914440</v>
      </c>
      <c r="H8" s="315">
        <v>0</v>
      </c>
      <c r="I8" s="315">
        <v>186406</v>
      </c>
      <c r="J8" s="315"/>
      <c r="K8" s="315"/>
      <c r="L8" s="315"/>
      <c r="M8" s="317">
        <f t="shared" si="1"/>
        <v>186406</v>
      </c>
      <c r="N8" s="316">
        <f t="shared" si="2"/>
        <v>2100846</v>
      </c>
    </row>
    <row r="9" spans="1:14">
      <c r="A9" s="461"/>
      <c r="B9" s="318" t="s">
        <v>189</v>
      </c>
      <c r="C9" s="312">
        <v>16</v>
      </c>
      <c r="D9" s="312">
        <v>3</v>
      </c>
      <c r="E9" s="313">
        <v>209</v>
      </c>
      <c r="F9" s="463"/>
      <c r="G9" s="317">
        <f t="shared" si="0"/>
        <v>1914440</v>
      </c>
      <c r="H9" s="315">
        <v>0</v>
      </c>
      <c r="I9" s="315">
        <v>139690</v>
      </c>
      <c r="J9" s="315"/>
      <c r="K9" s="315"/>
      <c r="L9" s="315"/>
      <c r="M9" s="317">
        <f t="shared" si="1"/>
        <v>139690</v>
      </c>
      <c r="N9" s="316">
        <f t="shared" si="2"/>
        <v>2054130</v>
      </c>
    </row>
    <row r="10" spans="1:14">
      <c r="A10" s="461"/>
      <c r="B10" s="312" t="s">
        <v>190</v>
      </c>
      <c r="C10" s="312">
        <v>8</v>
      </c>
      <c r="D10" s="312">
        <v>0</v>
      </c>
      <c r="E10" s="313">
        <v>209</v>
      </c>
      <c r="F10" s="463"/>
      <c r="G10" s="317">
        <f t="shared" si="0"/>
        <v>1914440</v>
      </c>
      <c r="H10" s="315">
        <v>119538</v>
      </c>
      <c r="I10" s="315">
        <v>244114</v>
      </c>
      <c r="J10" s="315"/>
      <c r="K10" s="315"/>
      <c r="L10" s="315"/>
      <c r="M10" s="317">
        <f t="shared" si="1"/>
        <v>363652</v>
      </c>
      <c r="N10" s="316">
        <f t="shared" si="2"/>
        <v>2278092</v>
      </c>
    </row>
    <row r="11" spans="1:14">
      <c r="A11" s="461"/>
      <c r="B11" s="312" t="s">
        <v>389</v>
      </c>
      <c r="C11" s="312">
        <v>8</v>
      </c>
      <c r="D11" s="312">
        <v>1</v>
      </c>
      <c r="E11" s="313">
        <v>209</v>
      </c>
      <c r="F11" s="463"/>
      <c r="G11" s="317">
        <f t="shared" si="0"/>
        <v>1914440</v>
      </c>
      <c r="H11" s="315">
        <v>0</v>
      </c>
      <c r="I11" s="315">
        <v>297700</v>
      </c>
      <c r="J11" s="315"/>
      <c r="K11" s="315"/>
      <c r="L11" s="315"/>
      <c r="M11" s="317">
        <f t="shared" si="1"/>
        <v>297700</v>
      </c>
      <c r="N11" s="316">
        <f t="shared" si="2"/>
        <v>2212140</v>
      </c>
    </row>
    <row r="12" spans="1:14">
      <c r="A12" s="462"/>
      <c r="B12" s="312" t="s">
        <v>326</v>
      </c>
      <c r="C12" s="312">
        <v>8</v>
      </c>
      <c r="D12" s="312">
        <v>0</v>
      </c>
      <c r="E12" s="313">
        <v>209</v>
      </c>
      <c r="F12" s="463"/>
      <c r="G12" s="317">
        <f t="shared" si="0"/>
        <v>1914440</v>
      </c>
      <c r="H12" s="315">
        <v>0</v>
      </c>
      <c r="I12" s="315"/>
      <c r="J12" s="315"/>
      <c r="K12" s="315"/>
      <c r="L12" s="315"/>
      <c r="M12" s="317">
        <f t="shared" si="1"/>
        <v>0</v>
      </c>
      <c r="N12" s="316">
        <f t="shared" si="2"/>
        <v>1914440</v>
      </c>
    </row>
    <row r="13" spans="1:14">
      <c r="A13" s="319" t="s">
        <v>191</v>
      </c>
      <c r="B13" s="312" t="s">
        <v>192</v>
      </c>
      <c r="C13" s="312">
        <v>8</v>
      </c>
      <c r="D13" s="312">
        <v>0</v>
      </c>
      <c r="E13" s="313">
        <v>209</v>
      </c>
      <c r="F13" s="463"/>
      <c r="G13" s="314">
        <f t="shared" si="0"/>
        <v>1914440</v>
      </c>
      <c r="H13" s="315">
        <v>0</v>
      </c>
      <c r="I13" s="315">
        <v>0</v>
      </c>
      <c r="J13" s="315"/>
      <c r="K13" s="315"/>
      <c r="L13" s="315"/>
      <c r="M13" s="317">
        <f t="shared" si="1"/>
        <v>0</v>
      </c>
      <c r="N13" s="316">
        <f t="shared" si="2"/>
        <v>1914440</v>
      </c>
    </row>
    <row r="14" spans="1:14">
      <c r="A14" s="319" t="s">
        <v>327</v>
      </c>
      <c r="B14" s="312" t="s">
        <v>192</v>
      </c>
      <c r="C14" s="312">
        <v>8</v>
      </c>
      <c r="D14" s="312">
        <v>0</v>
      </c>
      <c r="E14" s="313">
        <v>209</v>
      </c>
      <c r="F14" s="463"/>
      <c r="G14" s="317">
        <f t="shared" si="0"/>
        <v>1914440</v>
      </c>
      <c r="H14" s="315">
        <v>0</v>
      </c>
      <c r="I14" s="315">
        <v>0</v>
      </c>
      <c r="J14" s="315"/>
      <c r="K14" s="315"/>
      <c r="L14" s="315"/>
      <c r="M14" s="317">
        <f t="shared" si="1"/>
        <v>0</v>
      </c>
      <c r="N14" s="316">
        <f t="shared" si="2"/>
        <v>1914440</v>
      </c>
    </row>
    <row r="15" spans="1:14">
      <c r="A15" s="319" t="s">
        <v>193</v>
      </c>
      <c r="B15" s="312" t="s">
        <v>192</v>
      </c>
      <c r="C15" s="312">
        <v>8</v>
      </c>
      <c r="D15" s="312">
        <v>0</v>
      </c>
      <c r="E15" s="313">
        <v>209</v>
      </c>
      <c r="F15" s="463"/>
      <c r="G15" s="317">
        <f t="shared" si="0"/>
        <v>1914440</v>
      </c>
      <c r="H15" s="315">
        <v>0</v>
      </c>
      <c r="I15" s="315">
        <v>0</v>
      </c>
      <c r="J15" s="315"/>
      <c r="K15" s="315"/>
      <c r="L15" s="315"/>
      <c r="M15" s="317">
        <f t="shared" si="1"/>
        <v>0</v>
      </c>
      <c r="N15" s="316">
        <f t="shared" si="2"/>
        <v>1914440</v>
      </c>
    </row>
    <row r="16" spans="1:14">
      <c r="A16" s="319" t="s">
        <v>194</v>
      </c>
      <c r="B16" s="312" t="s">
        <v>192</v>
      </c>
      <c r="C16" s="312">
        <v>8</v>
      </c>
      <c r="D16" s="312">
        <v>0</v>
      </c>
      <c r="E16" s="313">
        <v>209</v>
      </c>
      <c r="F16" s="463"/>
      <c r="G16" s="317">
        <f t="shared" si="0"/>
        <v>1914440</v>
      </c>
      <c r="H16" s="315">
        <v>0</v>
      </c>
      <c r="I16" s="315">
        <v>0</v>
      </c>
      <c r="J16" s="315"/>
      <c r="K16" s="315"/>
      <c r="L16" s="315"/>
      <c r="M16" s="317">
        <f t="shared" si="1"/>
        <v>0</v>
      </c>
      <c r="N16" s="316">
        <f t="shared" si="2"/>
        <v>1914440</v>
      </c>
    </row>
    <row r="17" spans="1:14">
      <c r="A17" s="319" t="s">
        <v>195</v>
      </c>
      <c r="B17" s="312" t="s">
        <v>192</v>
      </c>
      <c r="C17" s="312">
        <v>8</v>
      </c>
      <c r="D17" s="312">
        <v>0</v>
      </c>
      <c r="E17" s="313">
        <v>209</v>
      </c>
      <c r="F17" s="463"/>
      <c r="G17" s="317">
        <f t="shared" si="0"/>
        <v>1914440</v>
      </c>
      <c r="H17" s="315">
        <v>0</v>
      </c>
      <c r="I17" s="315">
        <v>0</v>
      </c>
      <c r="J17" s="315"/>
      <c r="K17" s="315"/>
      <c r="L17" s="315"/>
      <c r="M17" s="317">
        <f t="shared" si="1"/>
        <v>0</v>
      </c>
      <c r="N17" s="316">
        <f t="shared" si="2"/>
        <v>1914440</v>
      </c>
    </row>
    <row r="18" spans="1:14">
      <c r="A18" s="319" t="s">
        <v>48</v>
      </c>
      <c r="B18" s="312" t="s">
        <v>192</v>
      </c>
      <c r="C18" s="312">
        <v>8</v>
      </c>
      <c r="D18" s="312">
        <v>0</v>
      </c>
      <c r="E18" s="313">
        <v>209</v>
      </c>
      <c r="F18" s="463"/>
      <c r="G18" s="317">
        <f t="shared" si="0"/>
        <v>1914440</v>
      </c>
      <c r="H18" s="315">
        <v>0</v>
      </c>
      <c r="I18" s="315">
        <v>0</v>
      </c>
      <c r="J18" s="315"/>
      <c r="K18" s="315"/>
      <c r="L18" s="315"/>
      <c r="M18" s="317">
        <f t="shared" si="1"/>
        <v>0</v>
      </c>
      <c r="N18" s="316">
        <f t="shared" si="2"/>
        <v>1914440</v>
      </c>
    </row>
    <row r="19" spans="1:14">
      <c r="A19" s="319" t="s">
        <v>196</v>
      </c>
      <c r="B19" s="312" t="s">
        <v>192</v>
      </c>
      <c r="C19" s="312">
        <v>8</v>
      </c>
      <c r="D19" s="312">
        <v>0</v>
      </c>
      <c r="E19" s="313">
        <v>209</v>
      </c>
      <c r="F19" s="463"/>
      <c r="G19" s="317">
        <f t="shared" si="0"/>
        <v>1914440</v>
      </c>
      <c r="H19" s="315">
        <v>0</v>
      </c>
      <c r="I19" s="315">
        <v>0</v>
      </c>
      <c r="J19" s="315"/>
      <c r="K19" s="315"/>
      <c r="L19" s="315"/>
      <c r="M19" s="317">
        <f t="shared" si="1"/>
        <v>0</v>
      </c>
      <c r="N19" s="316">
        <f t="shared" si="2"/>
        <v>1914440</v>
      </c>
    </row>
    <row r="20" spans="1:14">
      <c r="A20" s="319" t="s">
        <v>197</v>
      </c>
      <c r="B20" s="312" t="s">
        <v>192</v>
      </c>
      <c r="C20" s="312">
        <v>8</v>
      </c>
      <c r="D20" s="312">
        <v>0</v>
      </c>
      <c r="E20" s="313">
        <v>209</v>
      </c>
      <c r="F20" s="463"/>
      <c r="G20" s="317">
        <f t="shared" si="0"/>
        <v>1914440</v>
      </c>
      <c r="H20" s="315">
        <v>0</v>
      </c>
      <c r="I20" s="315">
        <v>0</v>
      </c>
      <c r="J20" s="315"/>
      <c r="K20" s="315"/>
      <c r="L20" s="315"/>
      <c r="M20" s="317">
        <f t="shared" si="1"/>
        <v>0</v>
      </c>
      <c r="N20" s="316">
        <f t="shared" si="2"/>
        <v>1914440</v>
      </c>
    </row>
    <row r="21" spans="1:14">
      <c r="A21" s="319" t="s">
        <v>198</v>
      </c>
      <c r="B21" s="312" t="s">
        <v>192</v>
      </c>
      <c r="C21" s="312">
        <v>8</v>
      </c>
      <c r="D21" s="312">
        <v>0</v>
      </c>
      <c r="E21" s="313">
        <v>209</v>
      </c>
      <c r="F21" s="463"/>
      <c r="G21" s="317">
        <f t="shared" si="0"/>
        <v>1914440</v>
      </c>
      <c r="H21" s="315">
        <v>0</v>
      </c>
      <c r="I21" s="315">
        <v>0</v>
      </c>
      <c r="J21" s="315"/>
      <c r="K21" s="315"/>
      <c r="L21" s="315"/>
      <c r="M21" s="317">
        <f t="shared" si="1"/>
        <v>0</v>
      </c>
      <c r="N21" s="316">
        <f t="shared" si="2"/>
        <v>1914440</v>
      </c>
    </row>
    <row r="22" spans="1:14">
      <c r="A22" s="319" t="s">
        <v>199</v>
      </c>
      <c r="B22" s="312" t="s">
        <v>192</v>
      </c>
      <c r="C22" s="312">
        <v>8</v>
      </c>
      <c r="D22" s="312">
        <v>0</v>
      </c>
      <c r="E22" s="313">
        <v>209</v>
      </c>
      <c r="F22" s="463"/>
      <c r="G22" s="317">
        <f t="shared" si="0"/>
        <v>1914440</v>
      </c>
      <c r="H22" s="315">
        <v>0</v>
      </c>
      <c r="I22" s="315">
        <v>0</v>
      </c>
      <c r="J22" s="315"/>
      <c r="K22" s="315"/>
      <c r="L22" s="315"/>
      <c r="M22" s="317">
        <f t="shared" si="1"/>
        <v>0</v>
      </c>
      <c r="N22" s="316">
        <f t="shared" si="2"/>
        <v>1914440</v>
      </c>
    </row>
    <row r="23" spans="1:14">
      <c r="A23" s="319" t="s">
        <v>200</v>
      </c>
      <c r="B23" s="312" t="s">
        <v>192</v>
      </c>
      <c r="C23" s="312">
        <v>8</v>
      </c>
      <c r="D23" s="312">
        <v>0</v>
      </c>
      <c r="E23" s="313">
        <v>209</v>
      </c>
      <c r="F23" s="463"/>
      <c r="G23" s="317">
        <f t="shared" si="0"/>
        <v>1914440</v>
      </c>
      <c r="H23" s="315">
        <v>0</v>
      </c>
      <c r="I23" s="315">
        <v>0</v>
      </c>
      <c r="J23" s="315"/>
      <c r="K23" s="315"/>
      <c r="L23" s="315"/>
      <c r="M23" s="317">
        <f t="shared" si="1"/>
        <v>0</v>
      </c>
      <c r="N23" s="316">
        <f t="shared" si="2"/>
        <v>1914440</v>
      </c>
    </row>
    <row r="24" spans="1:14">
      <c r="A24" s="319" t="s">
        <v>280</v>
      </c>
      <c r="B24" s="312" t="s">
        <v>192</v>
      </c>
      <c r="C24" s="312">
        <v>8</v>
      </c>
      <c r="D24" s="312">
        <v>0</v>
      </c>
      <c r="E24" s="313">
        <v>209</v>
      </c>
      <c r="F24" s="463"/>
      <c r="G24" s="317">
        <f t="shared" si="0"/>
        <v>1914440</v>
      </c>
      <c r="H24" s="315">
        <v>0</v>
      </c>
      <c r="I24" s="315">
        <v>0</v>
      </c>
      <c r="J24" s="315"/>
      <c r="K24" s="315"/>
      <c r="L24" s="315"/>
      <c r="M24" s="317">
        <f t="shared" si="1"/>
        <v>0</v>
      </c>
      <c r="N24" s="316">
        <f t="shared" si="2"/>
        <v>1914440</v>
      </c>
    </row>
    <row r="25" spans="1:14">
      <c r="A25" s="319" t="s">
        <v>201</v>
      </c>
      <c r="B25" s="312" t="s">
        <v>328</v>
      </c>
      <c r="C25" s="312">
        <v>8</v>
      </c>
      <c r="D25" s="312">
        <v>0</v>
      </c>
      <c r="E25" s="313">
        <v>209</v>
      </c>
      <c r="F25" s="463"/>
      <c r="G25" s="317">
        <f t="shared" si="0"/>
        <v>1914440</v>
      </c>
      <c r="H25" s="315">
        <v>0</v>
      </c>
      <c r="I25" s="315">
        <v>0</v>
      </c>
      <c r="J25" s="315"/>
      <c r="K25" s="315"/>
      <c r="L25" s="315"/>
      <c r="M25" s="317">
        <f t="shared" si="1"/>
        <v>0</v>
      </c>
      <c r="N25" s="316">
        <f t="shared" si="2"/>
        <v>1914440</v>
      </c>
    </row>
    <row r="26" spans="1:14" ht="17.25" thickBot="1">
      <c r="A26" s="320" t="s">
        <v>201</v>
      </c>
      <c r="B26" s="321" t="s">
        <v>329</v>
      </c>
      <c r="C26" s="321">
        <v>8</v>
      </c>
      <c r="D26" s="321">
        <v>3</v>
      </c>
      <c r="E26" s="322">
        <v>209</v>
      </c>
      <c r="F26" s="464"/>
      <c r="G26" s="323">
        <f t="shared" si="0"/>
        <v>1914440</v>
      </c>
      <c r="H26" s="324">
        <v>119538</v>
      </c>
      <c r="I26" s="324">
        <v>0</v>
      </c>
      <c r="J26" s="324"/>
      <c r="K26" s="324"/>
      <c r="L26" s="324"/>
      <c r="M26" s="323">
        <f t="shared" si="1"/>
        <v>119538</v>
      </c>
      <c r="N26" s="325">
        <f t="shared" si="2"/>
        <v>2033978</v>
      </c>
    </row>
    <row r="30" spans="1:14" ht="34.5" thickBot="1">
      <c r="A30" s="465" t="s">
        <v>397</v>
      </c>
      <c r="B30" s="465"/>
      <c r="C30" s="465"/>
      <c r="D30" s="465"/>
      <c r="E30" s="465"/>
      <c r="F30" s="465"/>
      <c r="G30" s="465"/>
      <c r="H30" s="465"/>
      <c r="I30" s="465"/>
      <c r="J30" s="465"/>
      <c r="K30" s="465"/>
      <c r="L30" s="465"/>
      <c r="M30" s="465"/>
      <c r="N30" s="465"/>
    </row>
    <row r="31" spans="1:14" ht="26.25" customHeight="1" thickBot="1">
      <c r="A31" s="478" t="s">
        <v>398</v>
      </c>
      <c r="B31" s="476"/>
      <c r="C31" s="476" t="s">
        <v>399</v>
      </c>
      <c r="D31" s="476"/>
      <c r="E31" s="476"/>
      <c r="F31" s="476"/>
      <c r="G31" s="476"/>
      <c r="H31" s="476"/>
      <c r="I31" s="476"/>
      <c r="J31" s="476"/>
      <c r="K31" s="476"/>
      <c r="L31" s="476" t="s">
        <v>400</v>
      </c>
      <c r="M31" s="476"/>
      <c r="N31" s="477"/>
    </row>
    <row r="32" spans="1:14">
      <c r="A32" s="479" t="s">
        <v>401</v>
      </c>
      <c r="B32" s="480"/>
      <c r="C32" s="480" t="s">
        <v>402</v>
      </c>
      <c r="D32" s="480"/>
      <c r="E32" s="480"/>
      <c r="F32" s="480"/>
      <c r="G32" s="480"/>
      <c r="H32" s="480"/>
      <c r="I32" s="480"/>
      <c r="J32" s="480"/>
      <c r="K32" s="480"/>
      <c r="L32" s="480">
        <v>60.5</v>
      </c>
      <c r="M32" s="480"/>
      <c r="N32" s="481"/>
    </row>
    <row r="33" spans="1:14">
      <c r="A33" s="482" t="s">
        <v>422</v>
      </c>
      <c r="B33" s="483"/>
      <c r="C33" s="483" t="s">
        <v>402</v>
      </c>
      <c r="D33" s="483"/>
      <c r="E33" s="483"/>
      <c r="F33" s="483"/>
      <c r="G33" s="483"/>
      <c r="H33" s="483"/>
      <c r="I33" s="483"/>
      <c r="J33" s="483"/>
      <c r="K33" s="483"/>
      <c r="L33" s="483">
        <v>65</v>
      </c>
      <c r="M33" s="483"/>
      <c r="N33" s="484"/>
    </row>
    <row r="34" spans="1:14">
      <c r="A34" s="482" t="s">
        <v>403</v>
      </c>
      <c r="B34" s="483"/>
      <c r="C34" s="483" t="s">
        <v>402</v>
      </c>
      <c r="D34" s="483"/>
      <c r="E34" s="483"/>
      <c r="F34" s="483"/>
      <c r="G34" s="483"/>
      <c r="H34" s="483"/>
      <c r="I34" s="483"/>
      <c r="J34" s="483"/>
      <c r="K34" s="483"/>
      <c r="L34" s="483">
        <v>48.3</v>
      </c>
      <c r="M34" s="483"/>
      <c r="N34" s="484"/>
    </row>
    <row r="35" spans="1:14">
      <c r="A35" s="482" t="s">
        <v>404</v>
      </c>
      <c r="B35" s="483"/>
      <c r="C35" s="483" t="s">
        <v>405</v>
      </c>
      <c r="D35" s="483"/>
      <c r="E35" s="483"/>
      <c r="F35" s="483"/>
      <c r="G35" s="483"/>
      <c r="H35" s="483"/>
      <c r="I35" s="483"/>
      <c r="J35" s="483"/>
      <c r="K35" s="483"/>
      <c r="L35" s="483">
        <v>86.6</v>
      </c>
      <c r="M35" s="483"/>
      <c r="N35" s="484"/>
    </row>
    <row r="36" spans="1:14">
      <c r="A36" s="482" t="s">
        <v>407</v>
      </c>
      <c r="B36" s="483"/>
      <c r="C36" s="483" t="s">
        <v>408</v>
      </c>
      <c r="D36" s="483"/>
      <c r="E36" s="483"/>
      <c r="F36" s="483"/>
      <c r="G36" s="483"/>
      <c r="H36" s="483"/>
      <c r="I36" s="483"/>
      <c r="J36" s="483"/>
      <c r="K36" s="483"/>
      <c r="L36" s="483">
        <v>49.3</v>
      </c>
      <c r="M36" s="483"/>
      <c r="N36" s="484"/>
    </row>
    <row r="37" spans="1:14" ht="17.25" thickBot="1">
      <c r="A37" s="485" t="s">
        <v>406</v>
      </c>
      <c r="B37" s="486"/>
      <c r="C37" s="486" t="s">
        <v>409</v>
      </c>
      <c r="D37" s="486"/>
      <c r="E37" s="486"/>
      <c r="F37" s="486"/>
      <c r="G37" s="486"/>
      <c r="H37" s="486"/>
      <c r="I37" s="486"/>
      <c r="J37" s="486"/>
      <c r="K37" s="486"/>
      <c r="L37" s="486">
        <v>59.5</v>
      </c>
      <c r="M37" s="486"/>
      <c r="N37" s="487"/>
    </row>
  </sheetData>
  <mergeCells count="34">
    <mergeCell ref="A37:B37"/>
    <mergeCell ref="C37:K37"/>
    <mergeCell ref="L37:N37"/>
    <mergeCell ref="A35:B35"/>
    <mergeCell ref="C35:K35"/>
    <mergeCell ref="L35:N35"/>
    <mergeCell ref="A36:B36"/>
    <mergeCell ref="C36:K36"/>
    <mergeCell ref="L36:N36"/>
    <mergeCell ref="A33:B33"/>
    <mergeCell ref="C33:K33"/>
    <mergeCell ref="L33:N33"/>
    <mergeCell ref="A34:B34"/>
    <mergeCell ref="C34:K34"/>
    <mergeCell ref="L34:N34"/>
    <mergeCell ref="A30:N30"/>
    <mergeCell ref="C31:K31"/>
    <mergeCell ref="L31:N31"/>
    <mergeCell ref="A31:B31"/>
    <mergeCell ref="A32:B32"/>
    <mergeCell ref="C32:K32"/>
    <mergeCell ref="L32:N32"/>
    <mergeCell ref="A4:A12"/>
    <mergeCell ref="F4:F26"/>
    <mergeCell ref="A1:N1"/>
    <mergeCell ref="A2:A3"/>
    <mergeCell ref="B2:B3"/>
    <mergeCell ref="C2:C3"/>
    <mergeCell ref="D2:D3"/>
    <mergeCell ref="E2:E3"/>
    <mergeCell ref="F2:F3"/>
    <mergeCell ref="G2:G3"/>
    <mergeCell ref="N2:N3"/>
    <mergeCell ref="H2:M2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002060"/>
  </sheetPr>
  <dimension ref="A1:L15"/>
  <sheetViews>
    <sheetView workbookViewId="0">
      <selection activeCell="J4" sqref="J4"/>
    </sheetView>
  </sheetViews>
  <sheetFormatPr defaultRowHeight="16.5"/>
  <cols>
    <col min="1" max="1" width="19.875" bestFit="1" customWidth="1"/>
    <col min="2" max="2" width="15.25" bestFit="1" customWidth="1"/>
    <col min="3" max="4" width="11.625" bestFit="1" customWidth="1"/>
    <col min="5" max="7" width="10.875" bestFit="1" customWidth="1"/>
    <col min="9" max="9" width="12.125" bestFit="1" customWidth="1"/>
    <col min="12" max="12" width="9.375" bestFit="1" customWidth="1"/>
  </cols>
  <sheetData>
    <row r="1" spans="1:12" ht="17.25">
      <c r="A1" s="496" t="s">
        <v>214</v>
      </c>
      <c r="B1" s="498" t="s">
        <v>369</v>
      </c>
      <c r="C1" s="498" t="s">
        <v>215</v>
      </c>
      <c r="D1" s="498"/>
      <c r="E1" s="500" t="s">
        <v>216</v>
      </c>
      <c r="F1" s="500" t="s">
        <v>217</v>
      </c>
      <c r="G1" s="494" t="s">
        <v>218</v>
      </c>
      <c r="I1" s="488" t="s">
        <v>332</v>
      </c>
      <c r="J1" s="490" t="s">
        <v>337</v>
      </c>
      <c r="K1" s="490" t="s">
        <v>333</v>
      </c>
      <c r="L1" s="492" t="s">
        <v>334</v>
      </c>
    </row>
    <row r="2" spans="1:12" ht="17.25">
      <c r="A2" s="497"/>
      <c r="B2" s="499"/>
      <c r="C2" s="90" t="s">
        <v>219</v>
      </c>
      <c r="D2" s="90" t="s">
        <v>220</v>
      </c>
      <c r="E2" s="501"/>
      <c r="F2" s="501"/>
      <c r="G2" s="495"/>
      <c r="I2" s="489"/>
      <c r="J2" s="491"/>
      <c r="K2" s="491"/>
      <c r="L2" s="493"/>
    </row>
    <row r="3" spans="1:12">
      <c r="A3" s="91" t="s">
        <v>221</v>
      </c>
      <c r="B3" s="92">
        <v>74850</v>
      </c>
      <c r="C3" s="93">
        <v>0.2</v>
      </c>
      <c r="D3" s="93">
        <v>0.8</v>
      </c>
      <c r="E3" s="92">
        <f>B3*C3*30.5</f>
        <v>456585</v>
      </c>
      <c r="F3" s="92">
        <f t="shared" ref="F3:F14" si="0">B3*D3*30.5</f>
        <v>1826340</v>
      </c>
      <c r="G3" s="94">
        <f t="shared" ref="G3:G15" si="1">E3+F3</f>
        <v>2282925</v>
      </c>
      <c r="I3" s="248" t="s">
        <v>335</v>
      </c>
      <c r="J3" s="249">
        <v>2600</v>
      </c>
      <c r="K3" s="249">
        <v>1000</v>
      </c>
      <c r="L3" s="250">
        <f>(J3*3+K3*2)*30.5</f>
        <v>298900</v>
      </c>
    </row>
    <row r="4" spans="1:12" ht="17.25" thickBot="1">
      <c r="A4" s="91" t="s">
        <v>40</v>
      </c>
      <c r="B4" s="92">
        <v>69450</v>
      </c>
      <c r="C4" s="93">
        <v>0.2</v>
      </c>
      <c r="D4" s="93">
        <v>0.8</v>
      </c>
      <c r="E4" s="92">
        <f t="shared" ref="E4:E15" si="2">B4*C4*30.5</f>
        <v>423645</v>
      </c>
      <c r="F4" s="92">
        <f t="shared" si="0"/>
        <v>1694580</v>
      </c>
      <c r="G4" s="94">
        <f t="shared" si="1"/>
        <v>2118225</v>
      </c>
      <c r="I4" s="251" t="s">
        <v>336</v>
      </c>
      <c r="J4" s="252"/>
      <c r="K4" s="252"/>
      <c r="L4" s="253">
        <v>0</v>
      </c>
    </row>
    <row r="5" spans="1:12">
      <c r="A5" s="91" t="s">
        <v>222</v>
      </c>
      <c r="B5" s="92">
        <v>64040</v>
      </c>
      <c r="C5" s="93">
        <v>0.2</v>
      </c>
      <c r="D5" s="93">
        <v>0.8</v>
      </c>
      <c r="E5" s="92">
        <f t="shared" si="2"/>
        <v>390644</v>
      </c>
      <c r="F5" s="92">
        <f t="shared" si="0"/>
        <v>1562576</v>
      </c>
      <c r="G5" s="94">
        <f t="shared" si="1"/>
        <v>1953220</v>
      </c>
    </row>
    <row r="6" spans="1:12">
      <c r="A6" s="91" t="s">
        <v>223</v>
      </c>
      <c r="B6" s="92">
        <v>74850</v>
      </c>
      <c r="C6" s="93">
        <v>0.12</v>
      </c>
      <c r="D6" s="93">
        <v>0.88</v>
      </c>
      <c r="E6" s="92">
        <f t="shared" si="2"/>
        <v>273951</v>
      </c>
      <c r="F6" s="92">
        <f t="shared" si="0"/>
        <v>2008974</v>
      </c>
      <c r="G6" s="94">
        <f t="shared" si="1"/>
        <v>2282925</v>
      </c>
    </row>
    <row r="7" spans="1:12">
      <c r="A7" s="91" t="s">
        <v>224</v>
      </c>
      <c r="B7" s="92">
        <v>69450</v>
      </c>
      <c r="C7" s="93">
        <v>0.12</v>
      </c>
      <c r="D7" s="93">
        <v>0.88</v>
      </c>
      <c r="E7" s="92">
        <f t="shared" si="2"/>
        <v>254187</v>
      </c>
      <c r="F7" s="92">
        <f t="shared" si="0"/>
        <v>1864038</v>
      </c>
      <c r="G7" s="94">
        <f t="shared" si="1"/>
        <v>2118225</v>
      </c>
    </row>
    <row r="8" spans="1:12">
      <c r="A8" s="91" t="s">
        <v>225</v>
      </c>
      <c r="B8" s="92">
        <v>64040</v>
      </c>
      <c r="C8" s="93">
        <v>0.12</v>
      </c>
      <c r="D8" s="93">
        <v>0.88</v>
      </c>
      <c r="E8" s="92">
        <f t="shared" si="2"/>
        <v>234386.39999999997</v>
      </c>
      <c r="F8" s="92">
        <f t="shared" si="0"/>
        <v>1718833.5999999999</v>
      </c>
      <c r="G8" s="94">
        <f t="shared" si="1"/>
        <v>1953219.9999999998</v>
      </c>
    </row>
    <row r="9" spans="1:12">
      <c r="A9" s="91" t="s">
        <v>226</v>
      </c>
      <c r="B9" s="92">
        <v>74850</v>
      </c>
      <c r="C9" s="93">
        <v>0.08</v>
      </c>
      <c r="D9" s="93">
        <v>0.92</v>
      </c>
      <c r="E9" s="92">
        <f t="shared" si="2"/>
        <v>182634</v>
      </c>
      <c r="F9" s="92">
        <f t="shared" si="0"/>
        <v>2100291</v>
      </c>
      <c r="G9" s="94">
        <f t="shared" si="1"/>
        <v>2282925</v>
      </c>
    </row>
    <row r="10" spans="1:12">
      <c r="A10" s="91" t="s">
        <v>227</v>
      </c>
      <c r="B10" s="92">
        <v>69450</v>
      </c>
      <c r="C10" s="93">
        <v>0.08</v>
      </c>
      <c r="D10" s="93">
        <v>0.92</v>
      </c>
      <c r="E10" s="92">
        <f t="shared" si="2"/>
        <v>169458</v>
      </c>
      <c r="F10" s="92">
        <f t="shared" si="0"/>
        <v>1948767</v>
      </c>
      <c r="G10" s="94">
        <f t="shared" si="1"/>
        <v>2118225</v>
      </c>
    </row>
    <row r="11" spans="1:12">
      <c r="A11" s="91" t="s">
        <v>228</v>
      </c>
      <c r="B11" s="92">
        <v>64040</v>
      </c>
      <c r="C11" s="93">
        <v>0.08</v>
      </c>
      <c r="D11" s="93">
        <v>0.92</v>
      </c>
      <c r="E11" s="92">
        <f t="shared" si="2"/>
        <v>156257.60000000001</v>
      </c>
      <c r="F11" s="92">
        <f t="shared" si="0"/>
        <v>1796962.4000000001</v>
      </c>
      <c r="G11" s="94">
        <f t="shared" si="1"/>
        <v>1953220.0000000002</v>
      </c>
    </row>
    <row r="12" spans="1:12">
      <c r="A12" s="91" t="s">
        <v>202</v>
      </c>
      <c r="B12" s="92">
        <v>74850</v>
      </c>
      <c r="C12" s="93">
        <v>0</v>
      </c>
      <c r="D12" s="93">
        <v>1</v>
      </c>
      <c r="E12" s="92">
        <f t="shared" si="2"/>
        <v>0</v>
      </c>
      <c r="F12" s="92">
        <f t="shared" si="0"/>
        <v>2282925</v>
      </c>
      <c r="G12" s="94">
        <f t="shared" si="1"/>
        <v>2282925</v>
      </c>
    </row>
    <row r="13" spans="1:12">
      <c r="A13" s="91" t="s">
        <v>229</v>
      </c>
      <c r="B13" s="92">
        <v>69450</v>
      </c>
      <c r="C13" s="93">
        <v>0</v>
      </c>
      <c r="D13" s="93">
        <v>1</v>
      </c>
      <c r="E13" s="92">
        <f t="shared" si="2"/>
        <v>0</v>
      </c>
      <c r="F13" s="92">
        <f t="shared" si="0"/>
        <v>2118225</v>
      </c>
      <c r="G13" s="94">
        <f t="shared" si="1"/>
        <v>2118225</v>
      </c>
    </row>
    <row r="14" spans="1:12">
      <c r="A14" s="91" t="s">
        <v>230</v>
      </c>
      <c r="B14" s="92">
        <v>64040</v>
      </c>
      <c r="C14" s="93">
        <v>0</v>
      </c>
      <c r="D14" s="93">
        <v>1</v>
      </c>
      <c r="E14" s="92">
        <f t="shared" si="2"/>
        <v>0</v>
      </c>
      <c r="F14" s="92">
        <f t="shared" si="0"/>
        <v>1953220</v>
      </c>
      <c r="G14" s="94">
        <f t="shared" si="1"/>
        <v>1953220</v>
      </c>
    </row>
    <row r="15" spans="1:12" ht="17.25" thickBot="1">
      <c r="A15" s="95" t="s">
        <v>231</v>
      </c>
      <c r="B15" s="102">
        <v>74850</v>
      </c>
      <c r="C15" s="97">
        <v>1</v>
      </c>
      <c r="D15" s="97"/>
      <c r="E15" s="96">
        <f t="shared" si="2"/>
        <v>2282925</v>
      </c>
      <c r="F15" s="96"/>
      <c r="G15" s="98">
        <f t="shared" si="1"/>
        <v>2282925</v>
      </c>
    </row>
  </sheetData>
  <sheetProtection selectLockedCells="1"/>
  <mergeCells count="10">
    <mergeCell ref="A1:A2"/>
    <mergeCell ref="B1:B2"/>
    <mergeCell ref="C1:D1"/>
    <mergeCell ref="E1:E2"/>
    <mergeCell ref="F1:F2"/>
    <mergeCell ref="I1:I2"/>
    <mergeCell ref="J1:J2"/>
    <mergeCell ref="K1:K2"/>
    <mergeCell ref="L1:L2"/>
    <mergeCell ref="G1:G2"/>
  </mergeCells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5</vt:i4>
      </vt:variant>
    </vt:vector>
  </HeadingPairs>
  <TitlesOfParts>
    <vt:vector size="13" baseType="lpstr">
      <vt:lpstr>예산총칙</vt:lpstr>
      <vt:lpstr>예산총괄표</vt:lpstr>
      <vt:lpstr>세입명세서</vt:lpstr>
      <vt:lpstr>세출명세서</vt:lpstr>
      <vt:lpstr>보수일람표(업로드)</vt:lpstr>
      <vt:lpstr>인건비산정</vt:lpstr>
      <vt:lpstr>급여가이드</vt:lpstr>
      <vt:lpstr>2022년수가</vt:lpstr>
      <vt:lpstr>세입명세서!Print_Area</vt:lpstr>
      <vt:lpstr>세출명세서!Print_Area</vt:lpstr>
      <vt:lpstr>예산총칙!Print_Area</vt:lpstr>
      <vt:lpstr>세입명세서!Print_Titles</vt:lpstr>
      <vt:lpstr>세출명세서!Print_Titles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DM-002</dc:creator>
  <cp:lastModifiedBy>home</cp:lastModifiedBy>
  <cp:lastPrinted>2019-12-12T05:03:40Z</cp:lastPrinted>
  <dcterms:created xsi:type="dcterms:W3CDTF">2016-07-21T05:46:15Z</dcterms:created>
  <dcterms:modified xsi:type="dcterms:W3CDTF">2021-12-21T08:26:35Z</dcterms:modified>
</cp:coreProperties>
</file>