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2760" yWindow="2310" windowWidth="15480" windowHeight="7770" activeTab="5"/>
  </bookViews>
  <sheets>
    <sheet name="표제" sheetId="4" r:id="rId1"/>
    <sheet name="예산총칙" sheetId="5" r:id="rId2"/>
    <sheet name="총괄표" sheetId="11" r:id="rId3"/>
    <sheet name="보수일람표" sheetId="14" r:id="rId4"/>
    <sheet name="세입예산서" sheetId="2" r:id="rId5"/>
    <sheet name="세출예산서" sheetId="3" r:id="rId6"/>
    <sheet name="추경예산총괄표" sheetId="15" state="hidden" r:id="rId7"/>
    <sheet name="추경세입예산서" sheetId="16" state="hidden" r:id="rId8"/>
    <sheet name="추경세출예산서 " sheetId="17" state="hidden" r:id="rId9"/>
    <sheet name="포트폴리오" sheetId="10" r:id="rId10"/>
    <sheet name="보고서" sheetId="13" r:id="rId11"/>
  </sheets>
  <externalReferences>
    <externalReference r:id="rId12"/>
  </externalReferences>
  <definedNames>
    <definedName name="_xlnm._FilterDatabase" localSheetId="3" hidden="1">보수일람표!$A$4:$K$11</definedName>
    <definedName name="_xlnm.Print_Area" localSheetId="10">보고서!$A$1:$M$39</definedName>
    <definedName name="_xlnm.Print_Area" localSheetId="3">보수일람표!$A$1:$K$11</definedName>
    <definedName name="_xlnm.Print_Area" localSheetId="4">세입예산서!$A$1:$Q$137</definedName>
    <definedName name="_xlnm.Print_Area" localSheetId="5">세출예산서!$A$1:$Q$168</definedName>
    <definedName name="_xlnm.Print_Area" localSheetId="2">총괄표!$A$1:$J$18</definedName>
    <definedName name="_xlnm.Print_Area" localSheetId="7">추경세입예산서!$A$1:$Q$118</definedName>
    <definedName name="_xlnm.Print_Area" localSheetId="8">'추경세출예산서 '!$A$1:$Q$142</definedName>
    <definedName name="_xlnm.Print_Area" localSheetId="9">포트폴리오!$A$1:$G$21</definedName>
    <definedName name="_xlnm.Print_Titles" localSheetId="4">세입예산서!$1:$4</definedName>
    <definedName name="_xlnm.Print_Titles" localSheetId="5">세출예산서!$1:$4</definedName>
    <definedName name="_xlnm.Print_Titles" localSheetId="7">추경세입예산서!$1:$4</definedName>
    <definedName name="_xlnm.Print_Titles" localSheetId="8">'추경세출예산서 '!$1:$4</definedName>
    <definedName name="_xlnm.Print_Titles" localSheetId="6">추경예산총괄표!$1:$2</definedName>
  </definedNames>
  <calcPr calcId="152511" iterateDelta="0"/>
</workbook>
</file>

<file path=xl/calcChain.xml><?xml version="1.0" encoding="utf-8"?>
<calcChain xmlns="http://schemas.openxmlformats.org/spreadsheetml/2006/main">
  <c r="Q88" i="3" l="1"/>
  <c r="Q92" i="3"/>
  <c r="E10" i="14" l="1"/>
  <c r="E7" i="14"/>
  <c r="E6" i="14"/>
  <c r="E5" i="14"/>
  <c r="E11" i="14" l="1"/>
  <c r="H8" i="14"/>
  <c r="K8" i="14" s="1"/>
  <c r="H32" i="3"/>
  <c r="J8" i="14" l="1"/>
  <c r="H9" i="14"/>
  <c r="H10" i="14"/>
  <c r="Q96" i="2"/>
  <c r="Q110" i="2"/>
  <c r="Q108" i="2"/>
  <c r="J10" i="14" l="1"/>
  <c r="Q14" i="3"/>
  <c r="H7" i="14" l="1"/>
  <c r="H6" i="14"/>
  <c r="K6" i="14" s="1"/>
  <c r="H5" i="14"/>
  <c r="K5" i="14" s="1"/>
  <c r="I3" i="14" l="1"/>
  <c r="H11" i="14"/>
  <c r="J6" i="14"/>
  <c r="Q117" i="3"/>
  <c r="Q120" i="3"/>
  <c r="Q119" i="3"/>
  <c r="H49" i="3"/>
  <c r="J9" i="14" l="1"/>
  <c r="K9" i="14"/>
  <c r="K3" i="14" s="1"/>
  <c r="J5" i="14"/>
  <c r="J7" i="14"/>
  <c r="Q10" i="3"/>
  <c r="Q12" i="3"/>
  <c r="Q18" i="3"/>
  <c r="Q17" i="3"/>
  <c r="Q16" i="3"/>
  <c r="J3" i="14" l="1"/>
  <c r="Q116" i="2"/>
  <c r="Q115" i="2" s="1"/>
  <c r="E115" i="2" l="1"/>
  <c r="Q131" i="2" l="1"/>
  <c r="Q128" i="2"/>
  <c r="Q102" i="2"/>
  <c r="Q90" i="3" l="1"/>
  <c r="Q136" i="3"/>
  <c r="Q130" i="2" l="1"/>
  <c r="Q129" i="2" s="1"/>
  <c r="H71" i="2"/>
  <c r="H72" i="2"/>
  <c r="H73" i="2"/>
  <c r="H75" i="2"/>
  <c r="H76" i="2"/>
  <c r="H77" i="2"/>
  <c r="H79" i="2"/>
  <c r="H80" i="2"/>
  <c r="H81" i="2"/>
  <c r="H83" i="2"/>
  <c r="H84" i="2"/>
  <c r="H85" i="2"/>
  <c r="H87" i="2"/>
  <c r="H88" i="2"/>
  <c r="H89" i="2"/>
  <c r="H91" i="2"/>
  <c r="H92" i="2"/>
  <c r="Q92" i="2" s="1"/>
  <c r="H94" i="2"/>
  <c r="Q94" i="2" s="1"/>
  <c r="H93" i="2"/>
  <c r="H31" i="2"/>
  <c r="H30" i="2"/>
  <c r="Q30" i="2" s="1"/>
  <c r="H29" i="2"/>
  <c r="Q29" i="2" s="1"/>
  <c r="H27" i="2"/>
  <c r="Q27" i="2" s="1"/>
  <c r="H26" i="2"/>
  <c r="Q26" i="2" s="1"/>
  <c r="H25" i="2"/>
  <c r="Q25" i="2" s="1"/>
  <c r="H23" i="2"/>
  <c r="Q23" i="2" s="1"/>
  <c r="H22" i="2"/>
  <c r="Q22" i="2" s="1"/>
  <c r="H21" i="2"/>
  <c r="Q21" i="2" s="1"/>
  <c r="H19" i="2"/>
  <c r="H18" i="2"/>
  <c r="H17" i="2"/>
  <c r="Q17" i="2" s="1"/>
  <c r="H15" i="2"/>
  <c r="H14" i="2"/>
  <c r="H13" i="2"/>
  <c r="H11" i="2"/>
  <c r="H10" i="2"/>
  <c r="H9" i="2"/>
  <c r="Q109" i="3" l="1"/>
  <c r="Q108" i="3"/>
  <c r="D17" i="10"/>
  <c r="K35" i="3"/>
  <c r="K34" i="3"/>
  <c r="K33" i="3"/>
  <c r="T5" i="3"/>
  <c r="H2" i="3"/>
  <c r="Q162" i="3"/>
  <c r="Q161" i="3"/>
  <c r="E161" i="3" s="1"/>
  <c r="Q158" i="3"/>
  <c r="E158" i="3" s="1"/>
  <c r="F158" i="3" s="1"/>
  <c r="Q157" i="3"/>
  <c r="Q154" i="3"/>
  <c r="Q153" i="3" s="1"/>
  <c r="Q152" i="3" s="1"/>
  <c r="S152" i="3" s="1"/>
  <c r="Q151" i="3"/>
  <c r="Q150" i="3" s="1"/>
  <c r="S150" i="3" s="1"/>
  <c r="Q149" i="3"/>
  <c r="H15" i="11" s="1"/>
  <c r="I15" i="11" s="1"/>
  <c r="Q148" i="3"/>
  <c r="Q144" i="3"/>
  <c r="Q143" i="3" s="1"/>
  <c r="Q142" i="3" s="1"/>
  <c r="S142" i="3" s="1"/>
  <c r="Q141" i="3"/>
  <c r="E141" i="3" s="1"/>
  <c r="D126" i="17" s="1"/>
  <c r="Q140" i="3"/>
  <c r="Q137" i="3"/>
  <c r="Q135" i="3"/>
  <c r="Q134" i="3"/>
  <c r="Q131" i="3"/>
  <c r="Q130" i="3" s="1"/>
  <c r="Q129" i="3"/>
  <c r="Q128" i="3" s="1"/>
  <c r="Q127" i="3"/>
  <c r="Q126" i="3"/>
  <c r="K28" i="15" s="1"/>
  <c r="Q125" i="3"/>
  <c r="K123" i="3"/>
  <c r="H123" i="3"/>
  <c r="H122" i="3"/>
  <c r="Q112" i="3"/>
  <c r="E112" i="3" s="1"/>
  <c r="F112" i="3" s="1"/>
  <c r="Q111" i="3"/>
  <c r="E111" i="3" s="1"/>
  <c r="Q110" i="3"/>
  <c r="Q107" i="3"/>
  <c r="Q106" i="3"/>
  <c r="Q102" i="3"/>
  <c r="Q101" i="3"/>
  <c r="Q100" i="3"/>
  <c r="Q99" i="3"/>
  <c r="Q98" i="3"/>
  <c r="Q97" i="3"/>
  <c r="Q96" i="3"/>
  <c r="Q94" i="3"/>
  <c r="Q93" i="3" s="1"/>
  <c r="S93" i="3" s="1"/>
  <c r="Q91" i="3"/>
  <c r="Q89" i="3"/>
  <c r="Q87" i="3"/>
  <c r="Q86" i="3"/>
  <c r="Q85" i="3"/>
  <c r="Q84" i="3"/>
  <c r="Q83" i="3"/>
  <c r="Q81" i="3"/>
  <c r="Q80" i="3"/>
  <c r="K19" i="15" s="1"/>
  <c r="Q79" i="3"/>
  <c r="Q78" i="3"/>
  <c r="Q77" i="3"/>
  <c r="Q74" i="3"/>
  <c r="Q73" i="3"/>
  <c r="Q72" i="3"/>
  <c r="Q71" i="3"/>
  <c r="K17" i="15" s="1"/>
  <c r="Q70" i="3"/>
  <c r="Q69" i="3"/>
  <c r="Q68" i="3"/>
  <c r="Q67" i="3"/>
  <c r="Q66" i="3"/>
  <c r="Q64" i="3"/>
  <c r="Q63" i="3" s="1"/>
  <c r="Q61" i="3"/>
  <c r="Q60" i="3"/>
  <c r="Q58" i="3"/>
  <c r="Q57" i="3" s="1"/>
  <c r="E57" i="3" s="1"/>
  <c r="F57" i="3" s="1"/>
  <c r="Q56" i="3"/>
  <c r="Q55" i="3"/>
  <c r="Q49" i="3"/>
  <c r="Q44" i="3"/>
  <c r="Q24" i="3"/>
  <c r="Q23" i="3" s="1"/>
  <c r="Q22" i="3"/>
  <c r="Q21" i="3" s="1"/>
  <c r="S21" i="3" s="1"/>
  <c r="Q20" i="3"/>
  <c r="Q19" i="3"/>
  <c r="Q13" i="3"/>
  <c r="Q11" i="3"/>
  <c r="T7" i="3"/>
  <c r="T6" i="3" s="1"/>
  <c r="Q93" i="2"/>
  <c r="Q89" i="2"/>
  <c r="Q90" i="2"/>
  <c r="Q88" i="2"/>
  <c r="Q87" i="2"/>
  <c r="Q85" i="2"/>
  <c r="Q84" i="2"/>
  <c r="Q82" i="2"/>
  <c r="Q81" i="2"/>
  <c r="Q79" i="2"/>
  <c r="Q76" i="2"/>
  <c r="Q75" i="2"/>
  <c r="Q78" i="2"/>
  <c r="Q80" i="2"/>
  <c r="Q83" i="2"/>
  <c r="Q86" i="2"/>
  <c r="Q91" i="2"/>
  <c r="Q74" i="2"/>
  <c r="Q73" i="2"/>
  <c r="Q72" i="2"/>
  <c r="Q77" i="2"/>
  <c r="Q32" i="2"/>
  <c r="Q28" i="2"/>
  <c r="Q24" i="2"/>
  <c r="Q19" i="2"/>
  <c r="Q9" i="2"/>
  <c r="Q71" i="2"/>
  <c r="G11" i="14"/>
  <c r="G17" i="11"/>
  <c r="B17" i="11"/>
  <c r="Q115" i="17"/>
  <c r="E115" i="17" s="1"/>
  <c r="Q83" i="17"/>
  <c r="H77" i="17"/>
  <c r="Q77" i="17" s="1"/>
  <c r="Q76" i="17"/>
  <c r="H74" i="17"/>
  <c r="Q74" i="17" s="1"/>
  <c r="H73" i="17"/>
  <c r="Q73" i="17" s="1"/>
  <c r="H72" i="17"/>
  <c r="Q72" i="17" s="1"/>
  <c r="Q71" i="17"/>
  <c r="Q69" i="17"/>
  <c r="Q68" i="17"/>
  <c r="Q67" i="17"/>
  <c r="Q66" i="17"/>
  <c r="Q63" i="17"/>
  <c r="H62" i="17"/>
  <c r="Q62" i="17" s="1"/>
  <c r="Q61" i="17"/>
  <c r="H60" i="17"/>
  <c r="Q60" i="17" s="1"/>
  <c r="Q59" i="17"/>
  <c r="Q58" i="17"/>
  <c r="Q57" i="17"/>
  <c r="H56" i="17"/>
  <c r="Q56" i="17" s="1"/>
  <c r="G11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Q87" i="17"/>
  <c r="Q86" i="17"/>
  <c r="Q85" i="17"/>
  <c r="Q84" i="17"/>
  <c r="Q82" i="17"/>
  <c r="Q81" i="17"/>
  <c r="J29" i="15"/>
  <c r="J35" i="15"/>
  <c r="J34" i="15"/>
  <c r="J33" i="15"/>
  <c r="J32" i="15"/>
  <c r="J31" i="15"/>
  <c r="J30" i="15"/>
  <c r="J28" i="15"/>
  <c r="J27" i="15"/>
  <c r="J26" i="15"/>
  <c r="J25" i="15"/>
  <c r="J24" i="15"/>
  <c r="J23" i="15"/>
  <c r="J22" i="15"/>
  <c r="J21" i="15"/>
  <c r="J20" i="15"/>
  <c r="J19" i="15"/>
  <c r="J18" i="15"/>
  <c r="J17" i="15"/>
  <c r="J16" i="15"/>
  <c r="J15" i="15"/>
  <c r="J14" i="15"/>
  <c r="J13" i="15"/>
  <c r="J12" i="15"/>
  <c r="J11" i="15"/>
  <c r="J10" i="15"/>
  <c r="J9" i="15"/>
  <c r="J8" i="15"/>
  <c r="J6" i="15"/>
  <c r="J7" i="15"/>
  <c r="T7" i="17"/>
  <c r="T66" i="2"/>
  <c r="T138" i="2" s="1"/>
  <c r="D6" i="10" s="1"/>
  <c r="L2" i="15"/>
  <c r="Q142" i="17"/>
  <c r="Q141" i="17" s="1"/>
  <c r="E141" i="17" s="1"/>
  <c r="Q140" i="17"/>
  <c r="Q139" i="17" s="1"/>
  <c r="Q136" i="17"/>
  <c r="E136" i="17" s="1"/>
  <c r="Q135" i="17"/>
  <c r="Q132" i="17"/>
  <c r="E132" i="17" s="1"/>
  <c r="Q131" i="17"/>
  <c r="E131" i="17" s="1"/>
  <c r="Q128" i="17"/>
  <c r="Q125" i="17"/>
  <c r="Q123" i="17"/>
  <c r="Q122" i="17"/>
  <c r="Q118" i="17"/>
  <c r="Q117" i="17" s="1"/>
  <c r="Q116" i="17" s="1"/>
  <c r="Q114" i="17"/>
  <c r="E114" i="17" s="1"/>
  <c r="Q111" i="17"/>
  <c r="R110" i="17" s="1"/>
  <c r="Q108" i="17"/>
  <c r="Q107" i="17" s="1"/>
  <c r="R107" i="17" s="1"/>
  <c r="Q106" i="17"/>
  <c r="Q105" i="17" s="1"/>
  <c r="E105" i="17" s="1"/>
  <c r="Q104" i="17"/>
  <c r="Q103" i="17"/>
  <c r="H102" i="17"/>
  <c r="Q102" i="17" s="1"/>
  <c r="K100" i="17"/>
  <c r="H100" i="17"/>
  <c r="K99" i="17"/>
  <c r="H99" i="17"/>
  <c r="K97" i="17"/>
  <c r="H97" i="17"/>
  <c r="K96" i="17"/>
  <c r="H96" i="17"/>
  <c r="Q92" i="17"/>
  <c r="E92" i="17" s="1"/>
  <c r="Q91" i="17"/>
  <c r="E91" i="17" s="1"/>
  <c r="Q90" i="17"/>
  <c r="E90" i="17" s="1"/>
  <c r="Q79" i="17"/>
  <c r="Q78" i="17" s="1"/>
  <c r="L19" i="15" s="1"/>
  <c r="Q54" i="17"/>
  <c r="Q53" i="17" s="1"/>
  <c r="E53" i="17" s="1"/>
  <c r="Q51" i="17"/>
  <c r="Q50" i="17"/>
  <c r="Q48" i="17"/>
  <c r="Q47" i="17" s="1"/>
  <c r="Q46" i="17"/>
  <c r="Q45" i="17"/>
  <c r="H40" i="17"/>
  <c r="Q40" i="17" s="1"/>
  <c r="Q36" i="17"/>
  <c r="K29" i="17"/>
  <c r="K28" i="17"/>
  <c r="K27" i="17"/>
  <c r="H27" i="17"/>
  <c r="H32" i="17" s="1"/>
  <c r="Q32" i="17" s="1"/>
  <c r="Q23" i="17"/>
  <c r="Q22" i="17" s="1"/>
  <c r="Q21" i="17"/>
  <c r="Q20" i="17" s="1"/>
  <c r="Q19" i="17"/>
  <c r="Q18" i="17"/>
  <c r="Q17" i="17"/>
  <c r="Q16" i="17"/>
  <c r="Q15" i="17"/>
  <c r="Q14" i="17"/>
  <c r="Q13" i="17"/>
  <c r="Q12" i="17"/>
  <c r="H11" i="17"/>
  <c r="Q11" i="17" s="1"/>
  <c r="Q10" i="17"/>
  <c r="Q9" i="17"/>
  <c r="H2" i="17"/>
  <c r="Q118" i="16"/>
  <c r="Q117" i="16" s="1"/>
  <c r="E117" i="16" s="1"/>
  <c r="Q116" i="16"/>
  <c r="Q115" i="16" s="1"/>
  <c r="E115" i="16" s="1"/>
  <c r="Q112" i="16"/>
  <c r="Q111" i="16" s="1"/>
  <c r="E111" i="16" s="1"/>
  <c r="Q110" i="16"/>
  <c r="Q109" i="16" s="1"/>
  <c r="E109" i="16" s="1"/>
  <c r="Q108" i="16"/>
  <c r="Q107" i="16" s="1"/>
  <c r="Q106" i="16"/>
  <c r="Q105" i="16" s="1"/>
  <c r="E105" i="16" s="1"/>
  <c r="Q102" i="16"/>
  <c r="Q101" i="16" s="1"/>
  <c r="E101" i="16" s="1"/>
  <c r="Q100" i="16"/>
  <c r="Q99" i="16" s="1"/>
  <c r="E99" i="16" s="1"/>
  <c r="Q98" i="16"/>
  <c r="Q94" i="16"/>
  <c r="Q93" i="16" s="1"/>
  <c r="E93" i="16" s="1"/>
  <c r="Q92" i="16"/>
  <c r="Q91" i="16" s="1"/>
  <c r="E91" i="16" s="1"/>
  <c r="Q90" i="16"/>
  <c r="Q89" i="16" s="1"/>
  <c r="E89" i="16" s="1"/>
  <c r="Q88" i="16"/>
  <c r="Q87" i="16" s="1"/>
  <c r="E87" i="16" s="1"/>
  <c r="Q84" i="16"/>
  <c r="Q83" i="16" s="1"/>
  <c r="E83" i="16" s="1"/>
  <c r="Q82" i="16"/>
  <c r="Q81" i="16" s="1"/>
  <c r="Q76" i="16"/>
  <c r="H75" i="16"/>
  <c r="Q75" i="16" s="1"/>
  <c r="H74" i="16"/>
  <c r="Q74" i="16" s="1"/>
  <c r="Q73" i="16"/>
  <c r="H72" i="16"/>
  <c r="Q72" i="16" s="1"/>
  <c r="H71" i="16"/>
  <c r="Q71" i="16" s="1"/>
  <c r="Q70" i="16"/>
  <c r="H69" i="16"/>
  <c r="Q69" i="16" s="1"/>
  <c r="H68" i="16"/>
  <c r="Q68" i="16" s="1"/>
  <c r="Q67" i="16"/>
  <c r="H66" i="16"/>
  <c r="Q66" i="16" s="1"/>
  <c r="H65" i="16"/>
  <c r="Q65" i="16" s="1"/>
  <c r="Q64" i="16"/>
  <c r="H63" i="16"/>
  <c r="Q63" i="16" s="1"/>
  <c r="H62" i="16"/>
  <c r="Q62" i="16" s="1"/>
  <c r="Q58" i="16"/>
  <c r="Q57" i="16" s="1"/>
  <c r="Q54" i="16"/>
  <c r="Q53" i="16"/>
  <c r="Q51" i="16"/>
  <c r="Q50" i="16" s="1"/>
  <c r="E50" i="16" s="1"/>
  <c r="Q49" i="16"/>
  <c r="Q48" i="16"/>
  <c r="Q47" i="16"/>
  <c r="Q46" i="16"/>
  <c r="Q44" i="16"/>
  <c r="Q43" i="16" s="1"/>
  <c r="E43" i="16" s="1"/>
  <c r="Q40" i="16"/>
  <c r="Q39" i="16" s="1"/>
  <c r="Q38" i="16" s="1"/>
  <c r="Q37" i="16" s="1"/>
  <c r="Q36" i="16"/>
  <c r="Q35" i="16" s="1"/>
  <c r="Q32" i="16"/>
  <c r="Q31" i="16" s="1"/>
  <c r="Q30" i="16"/>
  <c r="Q29" i="16" s="1"/>
  <c r="E29" i="16" s="1"/>
  <c r="Q27" i="16"/>
  <c r="Q26" i="16"/>
  <c r="Q24" i="16"/>
  <c r="Q23" i="16"/>
  <c r="H21" i="16"/>
  <c r="H22" i="16" s="1"/>
  <c r="Q22" i="16" s="1"/>
  <c r="Q20" i="16"/>
  <c r="H18" i="16"/>
  <c r="Q17" i="16"/>
  <c r="H15" i="16"/>
  <c r="H16" i="16" s="1"/>
  <c r="Q16" i="16" s="1"/>
  <c r="Q14" i="16"/>
  <c r="H12" i="16"/>
  <c r="H13" i="16" s="1"/>
  <c r="Q13" i="16" s="1"/>
  <c r="Q11" i="16"/>
  <c r="H9" i="16"/>
  <c r="J8" i="16"/>
  <c r="I2" i="16"/>
  <c r="Q127" i="2"/>
  <c r="E127" i="2" s="1"/>
  <c r="Q120" i="2"/>
  <c r="Q112" i="2"/>
  <c r="Q111" i="2" s="1"/>
  <c r="E111" i="2" s="1"/>
  <c r="D93" i="16" s="1"/>
  <c r="Q109" i="2"/>
  <c r="Q107" i="2"/>
  <c r="E107" i="2" s="1"/>
  <c r="A1" i="13"/>
  <c r="D1" i="13"/>
  <c r="I21" i="10"/>
  <c r="D136" i="17"/>
  <c r="I2" i="2"/>
  <c r="Q12" i="2"/>
  <c r="Q16" i="2"/>
  <c r="Q20" i="2"/>
  <c r="Q33" i="2"/>
  <c r="Q35" i="2"/>
  <c r="Q36" i="2"/>
  <c r="Q39" i="2"/>
  <c r="Q38" i="2" s="1"/>
  <c r="Q41" i="2"/>
  <c r="Q40" i="2" s="1"/>
  <c r="E40" i="2" s="1"/>
  <c r="Q45" i="2"/>
  <c r="Q44" i="2" s="1"/>
  <c r="Q43" i="2" s="1"/>
  <c r="Q42" i="2" s="1"/>
  <c r="Q49" i="2"/>
  <c r="Q48" i="2" s="1"/>
  <c r="E48" i="2" s="1"/>
  <c r="E47" i="2" s="1"/>
  <c r="Q53" i="2"/>
  <c r="Q52" i="2" s="1"/>
  <c r="R52" i="2" s="1"/>
  <c r="Q55" i="2"/>
  <c r="Q56" i="2"/>
  <c r="Q57" i="2"/>
  <c r="Q58" i="2"/>
  <c r="Q60" i="2"/>
  <c r="Q59" i="2" s="1"/>
  <c r="Q62" i="2"/>
  <c r="Q63" i="2"/>
  <c r="Q67" i="2"/>
  <c r="Q66" i="2" s="1"/>
  <c r="E66" i="2" s="1"/>
  <c r="Q100" i="2"/>
  <c r="Q99" i="2" s="1"/>
  <c r="Q101" i="2"/>
  <c r="E101" i="2" s="1"/>
  <c r="D83" i="16" s="1"/>
  <c r="Q106" i="2"/>
  <c r="Q105" i="2" s="1"/>
  <c r="Q118" i="2"/>
  <c r="Q117" i="2" s="1"/>
  <c r="E117" i="2" s="1"/>
  <c r="Q124" i="2"/>
  <c r="Q123" i="2" s="1"/>
  <c r="Q126" i="2"/>
  <c r="Q125" i="2" s="1"/>
  <c r="H18" i="11"/>
  <c r="D4" i="5"/>
  <c r="F4" i="5"/>
  <c r="B11" i="5" s="1"/>
  <c r="B13" i="5" s="1"/>
  <c r="E118" i="17"/>
  <c r="Q12" i="16"/>
  <c r="D53" i="17"/>
  <c r="Q18" i="2"/>
  <c r="Q11" i="2"/>
  <c r="Q10" i="2"/>
  <c r="G6" i="10"/>
  <c r="E135" i="17"/>
  <c r="P133" i="17"/>
  <c r="R133" i="17" s="1"/>
  <c r="Q124" i="17"/>
  <c r="E124" i="17" s="1"/>
  <c r="D91" i="17"/>
  <c r="D90" i="17"/>
  <c r="D107" i="17"/>
  <c r="D44" i="17"/>
  <c r="Q13" i="2"/>
  <c r="Q110" i="17"/>
  <c r="Q109" i="17" s="1"/>
  <c r="R109" i="17" s="1"/>
  <c r="D78" i="17"/>
  <c r="Q134" i="17"/>
  <c r="L34" i="15" s="1"/>
  <c r="M34" i="15" s="1"/>
  <c r="Q113" i="17"/>
  <c r="Q112" i="17" s="1"/>
  <c r="R112" i="17" s="1"/>
  <c r="D115" i="17"/>
  <c r="D92" i="17"/>
  <c r="D49" i="17"/>
  <c r="D117" i="17"/>
  <c r="K7" i="15"/>
  <c r="D20" i="17"/>
  <c r="D109" i="17"/>
  <c r="E39" i="16"/>
  <c r="E38" i="16" s="1"/>
  <c r="E37" i="16" s="1"/>
  <c r="D110" i="17"/>
  <c r="D80" i="17"/>
  <c r="Q89" i="17"/>
  <c r="Q88" i="17" s="1"/>
  <c r="D134" i="17"/>
  <c r="D47" i="17"/>
  <c r="D88" i="17"/>
  <c r="D43" i="17"/>
  <c r="D133" i="17"/>
  <c r="D113" i="17"/>
  <c r="D121" i="17"/>
  <c r="D64" i="17"/>
  <c r="D52" i="17"/>
  <c r="D120" i="17"/>
  <c r="D112" i="17"/>
  <c r="D25" i="17"/>
  <c r="D95" i="17"/>
  <c r="D94" i="17"/>
  <c r="D93" i="17"/>
  <c r="K33" i="15"/>
  <c r="E157" i="3"/>
  <c r="F157" i="3" s="1"/>
  <c r="E144" i="3" l="1"/>
  <c r="F144" i="3" s="1"/>
  <c r="R105" i="17"/>
  <c r="E52" i="2"/>
  <c r="D43" i="16" s="1"/>
  <c r="F43" i="16" s="1"/>
  <c r="F90" i="17"/>
  <c r="E134" i="17"/>
  <c r="E78" i="17"/>
  <c r="Q47" i="2"/>
  <c r="F111" i="2"/>
  <c r="H28" i="17"/>
  <c r="H33" i="17" s="1"/>
  <c r="Q33" i="17" s="1"/>
  <c r="Q15" i="3"/>
  <c r="N70" i="2"/>
  <c r="Q104" i="2"/>
  <c r="Q103" i="2" s="1"/>
  <c r="C13" i="11" s="1"/>
  <c r="L31" i="15"/>
  <c r="Q45" i="16"/>
  <c r="E44" i="2"/>
  <c r="H33" i="3"/>
  <c r="Q9" i="3"/>
  <c r="H26" i="3" s="1"/>
  <c r="E109" i="2"/>
  <c r="D91" i="16" s="1"/>
  <c r="F91" i="16" s="1"/>
  <c r="L27" i="15"/>
  <c r="E110" i="17"/>
  <c r="F110" i="17" s="1"/>
  <c r="E107" i="17"/>
  <c r="F107" i="17" s="1"/>
  <c r="C7" i="11"/>
  <c r="D7" i="11" s="1"/>
  <c r="Q15" i="16"/>
  <c r="R124" i="17"/>
  <c r="F115" i="17"/>
  <c r="F93" i="16"/>
  <c r="Q97" i="17"/>
  <c r="L26" i="15"/>
  <c r="R78" i="17"/>
  <c r="E88" i="3"/>
  <c r="F88" i="3" s="1"/>
  <c r="Q61" i="2"/>
  <c r="E61" i="2" s="1"/>
  <c r="D52" i="16" s="1"/>
  <c r="Q54" i="2"/>
  <c r="R54" i="2" s="1"/>
  <c r="E150" i="3"/>
  <c r="F150" i="3" s="1"/>
  <c r="K21" i="15"/>
  <c r="Q122" i="2"/>
  <c r="Q121" i="2" s="1"/>
  <c r="C15" i="11" s="1"/>
  <c r="K35" i="15"/>
  <c r="E38" i="2"/>
  <c r="E37" i="2" s="1"/>
  <c r="Q37" i="2"/>
  <c r="S37" i="2" s="1"/>
  <c r="F83" i="16"/>
  <c r="Q34" i="2"/>
  <c r="Q99" i="17"/>
  <c r="Q101" i="17"/>
  <c r="R101" i="17" s="1"/>
  <c r="Q121" i="17"/>
  <c r="O120" i="17" s="1"/>
  <c r="O119" i="17" s="1"/>
  <c r="D99" i="16"/>
  <c r="F99" i="16" s="1"/>
  <c r="N61" i="16"/>
  <c r="E61" i="16" s="1"/>
  <c r="Q70" i="17"/>
  <c r="L17" i="15" s="1"/>
  <c r="M17" i="15" s="1"/>
  <c r="Q46" i="2"/>
  <c r="D39" i="16"/>
  <c r="Q119" i="2"/>
  <c r="Q97" i="16"/>
  <c r="E97" i="16" s="1"/>
  <c r="E96" i="16" s="1"/>
  <c r="Q130" i="17"/>
  <c r="Q129" i="17" s="1"/>
  <c r="L33" i="15" s="1"/>
  <c r="M33" i="15" s="1"/>
  <c r="E125" i="2"/>
  <c r="D107" i="16" s="1"/>
  <c r="U129" i="2"/>
  <c r="Q80" i="16"/>
  <c r="Q79" i="16" s="1"/>
  <c r="S79" i="16" s="1"/>
  <c r="E129" i="2"/>
  <c r="F129" i="2" s="1"/>
  <c r="Q96" i="17"/>
  <c r="E139" i="17"/>
  <c r="E138" i="17" s="1"/>
  <c r="Q138" i="17"/>
  <c r="E105" i="2"/>
  <c r="D87" i="16" s="1"/>
  <c r="F87" i="16" s="1"/>
  <c r="E20" i="17"/>
  <c r="F20" i="17" s="1"/>
  <c r="R20" i="17"/>
  <c r="L7" i="15"/>
  <c r="M7" i="15" s="1"/>
  <c r="E59" i="2"/>
  <c r="F59" i="2" s="1"/>
  <c r="R59" i="2"/>
  <c r="F40" i="2"/>
  <c r="D31" i="16"/>
  <c r="L12" i="15"/>
  <c r="E47" i="17"/>
  <c r="S47" i="17"/>
  <c r="E130" i="3"/>
  <c r="F130" i="3" s="1"/>
  <c r="S130" i="3"/>
  <c r="F47" i="17"/>
  <c r="F48" i="2"/>
  <c r="Q21" i="16"/>
  <c r="Q49" i="17"/>
  <c r="Q55" i="17"/>
  <c r="L15" i="15" s="1"/>
  <c r="Q75" i="17"/>
  <c r="R75" i="17" s="1"/>
  <c r="H78" i="16"/>
  <c r="Q78" i="16" s="1"/>
  <c r="N77" i="16" s="1"/>
  <c r="F13" i="15" s="1"/>
  <c r="Q27" i="17"/>
  <c r="Q59" i="3"/>
  <c r="E59" i="3" s="1"/>
  <c r="F59" i="3" s="1"/>
  <c r="Q65" i="2"/>
  <c r="Q64" i="2" s="1"/>
  <c r="E54" i="2"/>
  <c r="F91" i="17"/>
  <c r="Q25" i="16"/>
  <c r="E89" i="17"/>
  <c r="L25" i="15"/>
  <c r="Q65" i="17"/>
  <c r="R65" i="17" s="1"/>
  <c r="Q124" i="3"/>
  <c r="S124" i="3" s="1"/>
  <c r="K9" i="15"/>
  <c r="S23" i="3"/>
  <c r="E23" i="3"/>
  <c r="D24" i="17" s="1"/>
  <c r="K10" i="15"/>
  <c r="Q133" i="3"/>
  <c r="Q132" i="3" s="1"/>
  <c r="M19" i="15"/>
  <c r="F92" i="17"/>
  <c r="Q76" i="3"/>
  <c r="D18" i="10"/>
  <c r="H135" i="2"/>
  <c r="Q135" i="2" s="1"/>
  <c r="Q134" i="2" s="1"/>
  <c r="E134" i="2" s="1"/>
  <c r="H166" i="3"/>
  <c r="Q166" i="3" s="1"/>
  <c r="Q165" i="3" s="1"/>
  <c r="E165" i="3" s="1"/>
  <c r="E156" i="3"/>
  <c r="D141" i="17" s="1"/>
  <c r="F141" i="17" s="1"/>
  <c r="K30" i="15"/>
  <c r="E162" i="3"/>
  <c r="F162" i="3" s="1"/>
  <c r="H168" i="3"/>
  <c r="Q168" i="3" s="1"/>
  <c r="Q167" i="3" s="1"/>
  <c r="E167" i="3" s="1"/>
  <c r="F167" i="3" s="1"/>
  <c r="H137" i="2"/>
  <c r="Q137" i="2" s="1"/>
  <c r="Q136" i="2" s="1"/>
  <c r="E136" i="2" s="1"/>
  <c r="D117" i="16" s="1"/>
  <c r="F117" i="16" s="1"/>
  <c r="Q103" i="3"/>
  <c r="K22" i="15" s="1"/>
  <c r="F141" i="3"/>
  <c r="D16" i="10"/>
  <c r="K32" i="15"/>
  <c r="Q82" i="3"/>
  <c r="K20" i="15" s="1"/>
  <c r="K18" i="15"/>
  <c r="Q65" i="3"/>
  <c r="S65" i="3" s="1"/>
  <c r="E154" i="3"/>
  <c r="E153" i="3" s="1"/>
  <c r="F78" i="17"/>
  <c r="Q123" i="3"/>
  <c r="Q54" i="3"/>
  <c r="E93" i="3"/>
  <c r="F93" i="3" s="1"/>
  <c r="E106" i="3"/>
  <c r="E105" i="3" s="1"/>
  <c r="F105" i="3" s="1"/>
  <c r="E16" i="15"/>
  <c r="D97" i="16"/>
  <c r="S46" i="2"/>
  <c r="Q116" i="3"/>
  <c r="F127" i="2"/>
  <c r="D109" i="16"/>
  <c r="F109" i="16" s="1"/>
  <c r="E63" i="3"/>
  <c r="S63" i="3"/>
  <c r="D89" i="16"/>
  <c r="F89" i="16" s="1"/>
  <c r="F107" i="2"/>
  <c r="D38" i="16"/>
  <c r="F38" i="16" s="1"/>
  <c r="F47" i="2"/>
  <c r="E46" i="2"/>
  <c r="F111" i="3"/>
  <c r="D101" i="17"/>
  <c r="E109" i="17"/>
  <c r="F109" i="17" s="1"/>
  <c r="E117" i="17"/>
  <c r="E123" i="2"/>
  <c r="E99" i="2"/>
  <c r="Q98" i="2"/>
  <c r="Q97" i="2" s="1"/>
  <c r="C12" i="11" s="1"/>
  <c r="E22" i="17"/>
  <c r="R22" i="17"/>
  <c r="H29" i="17"/>
  <c r="N95" i="2"/>
  <c r="Q105" i="3"/>
  <c r="Q104" i="3" s="1"/>
  <c r="K23" i="15"/>
  <c r="E140" i="3"/>
  <c r="Q139" i="3"/>
  <c r="F10" i="15"/>
  <c r="E45" i="16"/>
  <c r="F134" i="17"/>
  <c r="F53" i="17"/>
  <c r="F66" i="2"/>
  <c r="E65" i="2"/>
  <c r="D57" i="16"/>
  <c r="E86" i="16"/>
  <c r="K24" i="15"/>
  <c r="E130" i="17"/>
  <c r="E114" i="16"/>
  <c r="E31" i="16"/>
  <c r="Q28" i="16"/>
  <c r="S28" i="16" s="1"/>
  <c r="Q104" i="16"/>
  <c r="Q103" i="16" s="1"/>
  <c r="E107" i="16"/>
  <c r="H37" i="17"/>
  <c r="S116" i="17"/>
  <c r="L29" i="15"/>
  <c r="S129" i="17"/>
  <c r="Q14" i="2"/>
  <c r="Q15" i="2"/>
  <c r="E143" i="3"/>
  <c r="E88" i="17"/>
  <c r="F88" i="17" s="1"/>
  <c r="R88" i="17"/>
  <c r="L21" i="15"/>
  <c r="Q18" i="16"/>
  <c r="H19" i="16"/>
  <c r="Q19" i="16" s="1"/>
  <c r="E35" i="16"/>
  <c r="Q34" i="16"/>
  <c r="Q33" i="16" s="1"/>
  <c r="Q52" i="16"/>
  <c r="E52" i="16" s="1"/>
  <c r="F14" i="15"/>
  <c r="E81" i="16"/>
  <c r="Q86" i="16"/>
  <c r="Q85" i="16" s="1"/>
  <c r="S85" i="16" s="1"/>
  <c r="L14" i="15"/>
  <c r="R53" i="17"/>
  <c r="E121" i="17"/>
  <c r="Q127" i="17"/>
  <c r="Q126" i="17" s="1"/>
  <c r="E128" i="17"/>
  <c r="Q80" i="17"/>
  <c r="H35" i="3"/>
  <c r="E21" i="3"/>
  <c r="K8" i="15"/>
  <c r="E128" i="3"/>
  <c r="S128" i="3"/>
  <c r="F161" i="3"/>
  <c r="D19" i="10"/>
  <c r="S57" i="3"/>
  <c r="E133" i="17"/>
  <c r="F133" i="17" s="1"/>
  <c r="H24" i="17"/>
  <c r="Q24" i="17" s="1"/>
  <c r="F52" i="2"/>
  <c r="Q28" i="17"/>
  <c r="L28" i="15"/>
  <c r="M28" i="15" s="1"/>
  <c r="E8" i="15"/>
  <c r="G8" i="15" s="1"/>
  <c r="L8" i="15"/>
  <c r="F117" i="2"/>
  <c r="H10" i="16"/>
  <c r="Q10" i="16" s="1"/>
  <c r="Q9" i="16"/>
  <c r="Q114" i="16"/>
  <c r="Q113" i="16" s="1"/>
  <c r="T6" i="17"/>
  <c r="L18" i="15"/>
  <c r="Q32" i="3"/>
  <c r="H39" i="3"/>
  <c r="Q39" i="3" s="1"/>
  <c r="Q31" i="2"/>
  <c r="S149" i="3"/>
  <c r="Q156" i="3"/>
  <c r="Q155" i="3" s="1"/>
  <c r="S155" i="3" s="1"/>
  <c r="Q56" i="16"/>
  <c r="Q55" i="16" s="1"/>
  <c r="T55" i="16" s="1"/>
  <c r="T119" i="16" s="1"/>
  <c r="E57" i="16"/>
  <c r="E113" i="17"/>
  <c r="F39" i="16"/>
  <c r="F101" i="2"/>
  <c r="K29" i="15"/>
  <c r="Q8" i="17"/>
  <c r="F136" i="17"/>
  <c r="Q122" i="3"/>
  <c r="K27" i="15" s="1"/>
  <c r="Q147" i="3"/>
  <c r="O160" i="3"/>
  <c r="P159" i="3" s="1"/>
  <c r="S159" i="3" s="1"/>
  <c r="Q44" i="17"/>
  <c r="Q100" i="17"/>
  <c r="H36" i="3" l="1"/>
  <c r="E75" i="17"/>
  <c r="F75" i="17" s="1"/>
  <c r="D129" i="17"/>
  <c r="S121" i="17"/>
  <c r="L30" i="15"/>
  <c r="D135" i="17"/>
  <c r="F135" i="17" s="1"/>
  <c r="H27" i="3"/>
  <c r="H34" i="3"/>
  <c r="H41" i="3" s="1"/>
  <c r="H46" i="3" s="1"/>
  <c r="F61" i="2"/>
  <c r="F52" i="16"/>
  <c r="Q64" i="17"/>
  <c r="E64" i="17" s="1"/>
  <c r="L24" i="15"/>
  <c r="M24" i="15" s="1"/>
  <c r="Q96" i="16"/>
  <c r="F16" i="15" s="1"/>
  <c r="G16" i="15" s="1"/>
  <c r="Q95" i="17"/>
  <c r="E95" i="17" s="1"/>
  <c r="Q27" i="3"/>
  <c r="Q51" i="2"/>
  <c r="Q50" i="2" s="1"/>
  <c r="C9" i="11" s="1"/>
  <c r="M27" i="15"/>
  <c r="F12" i="15"/>
  <c r="Q98" i="17"/>
  <c r="R98" i="17" s="1"/>
  <c r="S88" i="3"/>
  <c r="R138" i="2"/>
  <c r="F44" i="2"/>
  <c r="E43" i="2"/>
  <c r="D35" i="16"/>
  <c r="F35" i="16" s="1"/>
  <c r="M21" i="15"/>
  <c r="E124" i="3"/>
  <c r="F124" i="3" s="1"/>
  <c r="Q8" i="3"/>
  <c r="F109" i="2"/>
  <c r="E104" i="2"/>
  <c r="Q8" i="2"/>
  <c r="V4" i="3" s="1"/>
  <c r="H40" i="3"/>
  <c r="H45" i="3" s="1"/>
  <c r="H50" i="3" s="1"/>
  <c r="Q50" i="3" s="1"/>
  <c r="Q33" i="3"/>
  <c r="L16" i="15"/>
  <c r="S70" i="17"/>
  <c r="E101" i="17"/>
  <c r="F101" i="17" s="1"/>
  <c r="F23" i="3"/>
  <c r="F97" i="16"/>
  <c r="E9" i="15"/>
  <c r="G9" i="15" s="1"/>
  <c r="C8" i="11"/>
  <c r="D8" i="11" s="1"/>
  <c r="D13" i="11"/>
  <c r="E15" i="15"/>
  <c r="G15" i="15" s="1"/>
  <c r="S103" i="2"/>
  <c r="M30" i="15"/>
  <c r="E122" i="2"/>
  <c r="F125" i="2"/>
  <c r="S59" i="3"/>
  <c r="E119" i="2"/>
  <c r="E114" i="2" s="1"/>
  <c r="Q114" i="2"/>
  <c r="Q113" i="2" s="1"/>
  <c r="D111" i="16"/>
  <c r="F111" i="16" s="1"/>
  <c r="O52" i="17"/>
  <c r="Q53" i="3"/>
  <c r="D29" i="16"/>
  <c r="F29" i="16" s="1"/>
  <c r="F38" i="2"/>
  <c r="K26" i="15"/>
  <c r="M26" i="15" s="1"/>
  <c r="D13" i="10"/>
  <c r="F106" i="3"/>
  <c r="D116" i="17"/>
  <c r="Q75" i="3"/>
  <c r="E75" i="3" s="1"/>
  <c r="F75" i="3" s="1"/>
  <c r="Q95" i="3"/>
  <c r="E95" i="3" s="1"/>
  <c r="F95" i="3" s="1"/>
  <c r="D50" i="16"/>
  <c r="F50" i="16" s="1"/>
  <c r="Q164" i="3"/>
  <c r="Q163" i="3" s="1"/>
  <c r="S163" i="3" s="1"/>
  <c r="E10" i="15"/>
  <c r="G10" i="15" s="1"/>
  <c r="F7" i="15"/>
  <c r="E25" i="16"/>
  <c r="Q8" i="16"/>
  <c r="V4" i="17" s="1"/>
  <c r="Q42" i="16"/>
  <c r="R42" i="16" s="1"/>
  <c r="N60" i="16"/>
  <c r="N59" i="16" s="1"/>
  <c r="R59" i="16" s="1"/>
  <c r="F105" i="2"/>
  <c r="F136" i="2"/>
  <c r="E55" i="17"/>
  <c r="R55" i="17"/>
  <c r="L35" i="15"/>
  <c r="M35" i="15" s="1"/>
  <c r="Q137" i="17"/>
  <c r="S137" i="17" s="1"/>
  <c r="F115" i="2"/>
  <c r="S49" i="17"/>
  <c r="L13" i="15"/>
  <c r="E49" i="17"/>
  <c r="F49" i="17" s="1"/>
  <c r="E54" i="3"/>
  <c r="F54" i="3" s="1"/>
  <c r="E160" i="3"/>
  <c r="F160" i="3" s="1"/>
  <c r="S54" i="3"/>
  <c r="M18" i="15"/>
  <c r="E133" i="3"/>
  <c r="D119" i="17" s="1"/>
  <c r="K15" i="15"/>
  <c r="M15" i="15" s="1"/>
  <c r="F156" i="3"/>
  <c r="S133" i="3"/>
  <c r="E155" i="3"/>
  <c r="F155" i="3" s="1"/>
  <c r="Q133" i="2"/>
  <c r="Q26" i="3"/>
  <c r="K16" i="15"/>
  <c r="M16" i="15" s="1"/>
  <c r="E65" i="3"/>
  <c r="F65" i="3" s="1"/>
  <c r="F154" i="3"/>
  <c r="D139" i="17"/>
  <c r="F139" i="17" s="1"/>
  <c r="M8" i="15"/>
  <c r="E104" i="3"/>
  <c r="F104" i="3" s="1"/>
  <c r="E147" i="3"/>
  <c r="O146" i="3"/>
  <c r="O145" i="3" s="1"/>
  <c r="S147" i="3"/>
  <c r="E8" i="17"/>
  <c r="L6" i="15"/>
  <c r="R8" i="17"/>
  <c r="E112" i="17"/>
  <c r="F112" i="17" s="1"/>
  <c r="F113" i="17"/>
  <c r="D115" i="16"/>
  <c r="F115" i="16" s="1"/>
  <c r="F134" i="2"/>
  <c r="E133" i="2"/>
  <c r="E24" i="17"/>
  <c r="F24" i="17" s="1"/>
  <c r="L9" i="15"/>
  <c r="M9" i="15" s="1"/>
  <c r="R24" i="17"/>
  <c r="E70" i="2"/>
  <c r="S70" i="2"/>
  <c r="N69" i="2"/>
  <c r="N68" i="2" s="1"/>
  <c r="E12" i="15"/>
  <c r="G12" i="15" s="1"/>
  <c r="E127" i="17"/>
  <c r="Q41" i="16"/>
  <c r="E142" i="3"/>
  <c r="D128" i="17"/>
  <c r="F128" i="17" s="1"/>
  <c r="F143" i="3"/>
  <c r="Q37" i="17"/>
  <c r="H41" i="17"/>
  <c r="Q41" i="17" s="1"/>
  <c r="E129" i="17"/>
  <c r="D15" i="10"/>
  <c r="S104" i="3"/>
  <c r="L22" i="15"/>
  <c r="M22" i="15" s="1"/>
  <c r="O94" i="17"/>
  <c r="O93" i="17" s="1"/>
  <c r="E95" i="16"/>
  <c r="D45" i="16"/>
  <c r="F45" i="16" s="1"/>
  <c r="F54" i="2"/>
  <c r="E51" i="2"/>
  <c r="E98" i="2"/>
  <c r="F99" i="2"/>
  <c r="D81" i="16"/>
  <c r="F81" i="16" s="1"/>
  <c r="E116" i="17"/>
  <c r="F117" i="17"/>
  <c r="L23" i="15"/>
  <c r="M23" i="15" s="1"/>
  <c r="E56" i="16"/>
  <c r="F57" i="16"/>
  <c r="D114" i="17"/>
  <c r="F114" i="17" s="1"/>
  <c r="F128" i="3"/>
  <c r="H42" i="3"/>
  <c r="Q42" i="3" s="1"/>
  <c r="H52" i="3"/>
  <c r="Q52" i="3" s="1"/>
  <c r="K14" i="15" s="1"/>
  <c r="M14" i="15" s="1"/>
  <c r="Q35" i="3"/>
  <c r="H47" i="3"/>
  <c r="Q47" i="3" s="1"/>
  <c r="R126" i="17"/>
  <c r="L32" i="15"/>
  <c r="M32" i="15" s="1"/>
  <c r="E164" i="3"/>
  <c r="F165" i="3"/>
  <c r="F64" i="17"/>
  <c r="M29" i="15"/>
  <c r="E104" i="16"/>
  <c r="F107" i="16"/>
  <c r="E28" i="16"/>
  <c r="F31" i="16"/>
  <c r="E113" i="16"/>
  <c r="D56" i="16"/>
  <c r="F65" i="2"/>
  <c r="E64" i="2"/>
  <c r="E60" i="16"/>
  <c r="E42" i="16"/>
  <c r="Q138" i="3"/>
  <c r="S138" i="3" s="1"/>
  <c r="K31" i="15"/>
  <c r="M31" i="15" s="1"/>
  <c r="H38" i="17"/>
  <c r="Q38" i="17" s="1"/>
  <c r="Q29" i="17"/>
  <c r="H30" i="17" s="1"/>
  <c r="Q30" i="17" s="1"/>
  <c r="V3" i="17" s="1"/>
  <c r="H34" i="17"/>
  <c r="Q34" i="17" s="1"/>
  <c r="Q31" i="17" s="1"/>
  <c r="H42" i="17"/>
  <c r="Q42" i="17" s="1"/>
  <c r="D15" i="11"/>
  <c r="S121" i="2"/>
  <c r="E17" i="15"/>
  <c r="E137" i="17"/>
  <c r="F63" i="3"/>
  <c r="Q121" i="3"/>
  <c r="Q115" i="3" s="1"/>
  <c r="S44" i="17"/>
  <c r="Q43" i="17"/>
  <c r="L11" i="15"/>
  <c r="E44" i="17"/>
  <c r="E34" i="2"/>
  <c r="E7" i="15"/>
  <c r="S34" i="2"/>
  <c r="S103" i="16"/>
  <c r="F17" i="15"/>
  <c r="Q95" i="16"/>
  <c r="S95" i="16" s="1"/>
  <c r="F140" i="3"/>
  <c r="E139" i="3"/>
  <c r="D105" i="16"/>
  <c r="F105" i="16" s="1"/>
  <c r="F123" i="2"/>
  <c r="S113" i="16"/>
  <c r="F18" i="15"/>
  <c r="D28" i="16"/>
  <c r="F37" i="2"/>
  <c r="F21" i="3"/>
  <c r="D22" i="17"/>
  <c r="F22" i="17" s="1"/>
  <c r="R80" i="17"/>
  <c r="L20" i="15"/>
  <c r="M20" i="15" s="1"/>
  <c r="E80" i="17"/>
  <c r="F80" i="17" s="1"/>
  <c r="F121" i="17"/>
  <c r="E120" i="17"/>
  <c r="E80" i="16"/>
  <c r="E34" i="16"/>
  <c r="D138" i="17"/>
  <c r="F138" i="17" s="1"/>
  <c r="F153" i="3"/>
  <c r="E152" i="3"/>
  <c r="E85" i="16"/>
  <c r="S95" i="2"/>
  <c r="E13" i="15"/>
  <c r="G13" i="15" s="1"/>
  <c r="E95" i="2"/>
  <c r="S97" i="2"/>
  <c r="E14" i="15"/>
  <c r="G14" i="15" s="1"/>
  <c r="D12" i="11"/>
  <c r="D37" i="16"/>
  <c r="F37" i="16" s="1"/>
  <c r="F46" i="2"/>
  <c r="H51" i="3" l="1"/>
  <c r="Q46" i="3"/>
  <c r="S95" i="17"/>
  <c r="F129" i="17"/>
  <c r="Q7" i="16"/>
  <c r="Q34" i="3"/>
  <c r="Q40" i="3"/>
  <c r="E42" i="2"/>
  <c r="F43" i="2"/>
  <c r="D34" i="16"/>
  <c r="Q36" i="3"/>
  <c r="Q45" i="3"/>
  <c r="E103" i="2"/>
  <c r="F103" i="2" s="1"/>
  <c r="F104" i="2"/>
  <c r="D86" i="16"/>
  <c r="F86" i="16" s="1"/>
  <c r="C11" i="11"/>
  <c r="D11" i="11" s="1"/>
  <c r="S8" i="2"/>
  <c r="V5" i="17"/>
  <c r="F6" i="15"/>
  <c r="F36" i="15" s="1"/>
  <c r="E8" i="16"/>
  <c r="E7" i="16" s="1"/>
  <c r="S113" i="2"/>
  <c r="C14" i="11"/>
  <c r="E159" i="3"/>
  <c r="H14" i="11" s="1"/>
  <c r="I14" i="11" s="1"/>
  <c r="E53" i="3"/>
  <c r="F53" i="3" s="1"/>
  <c r="D55" i="17"/>
  <c r="F55" i="17" s="1"/>
  <c r="E8" i="2"/>
  <c r="E7" i="2" s="1"/>
  <c r="E6" i="2" s="1"/>
  <c r="Q7" i="2"/>
  <c r="Q6" i="2" s="1"/>
  <c r="S75" i="3"/>
  <c r="Q25" i="3"/>
  <c r="E25" i="3" s="1"/>
  <c r="F25" i="3" s="1"/>
  <c r="D14" i="11"/>
  <c r="D96" i="16"/>
  <c r="F96" i="16" s="1"/>
  <c r="F114" i="2"/>
  <c r="E113" i="2"/>
  <c r="D95" i="16" s="1"/>
  <c r="F95" i="16" s="1"/>
  <c r="F119" i="2"/>
  <c r="D101" i="16"/>
  <c r="F101" i="16" s="1"/>
  <c r="R119" i="16"/>
  <c r="Q132" i="2"/>
  <c r="G7" i="15"/>
  <c r="F116" i="17"/>
  <c r="D9" i="11"/>
  <c r="S116" i="3"/>
  <c r="H7" i="11"/>
  <c r="I7" i="11" s="1"/>
  <c r="O62" i="3"/>
  <c r="D14" i="10" s="1"/>
  <c r="D89" i="17"/>
  <c r="F89" i="17" s="1"/>
  <c r="S95" i="3"/>
  <c r="Q35" i="17"/>
  <c r="E52" i="17"/>
  <c r="F52" i="17" s="1"/>
  <c r="F133" i="3"/>
  <c r="E132" i="3"/>
  <c r="D118" i="17" s="1"/>
  <c r="F118" i="17" s="1"/>
  <c r="K6" i="15"/>
  <c r="K36" i="15" s="1"/>
  <c r="H13" i="11"/>
  <c r="I13" i="11" s="1"/>
  <c r="S8" i="3"/>
  <c r="Q41" i="3"/>
  <c r="E8" i="3"/>
  <c r="F28" i="16"/>
  <c r="E6" i="15"/>
  <c r="D137" i="17"/>
  <c r="F137" i="17" s="1"/>
  <c r="F152" i="3"/>
  <c r="H12" i="11"/>
  <c r="I12" i="11" s="1"/>
  <c r="E119" i="17"/>
  <c r="F119" i="17" s="1"/>
  <c r="F120" i="17"/>
  <c r="R121" i="3"/>
  <c r="O114" i="3"/>
  <c r="E59" i="16"/>
  <c r="E97" i="2"/>
  <c r="D80" i="16"/>
  <c r="F80" i="16" s="1"/>
  <c r="F98" i="2"/>
  <c r="F95" i="17"/>
  <c r="E94" i="17"/>
  <c r="B6" i="10"/>
  <c r="E132" i="2"/>
  <c r="F133" i="2"/>
  <c r="D114" i="16"/>
  <c r="F114" i="16" s="1"/>
  <c r="D77" i="16"/>
  <c r="F77" i="16" s="1"/>
  <c r="F95" i="2"/>
  <c r="E79" i="16"/>
  <c r="F122" i="2"/>
  <c r="E121" i="2"/>
  <c r="D104" i="16"/>
  <c r="F104" i="16" s="1"/>
  <c r="E62" i="3"/>
  <c r="F62" i="3" s="1"/>
  <c r="F51" i="2"/>
  <c r="E50" i="2"/>
  <c r="D42" i="16"/>
  <c r="F42" i="16" s="1"/>
  <c r="U70" i="2"/>
  <c r="R7" i="17"/>
  <c r="Q26" i="17"/>
  <c r="E41" i="16"/>
  <c r="D55" i="16"/>
  <c r="F64" i="2"/>
  <c r="C10" i="11"/>
  <c r="D10" i="11" s="1"/>
  <c r="E103" i="16"/>
  <c r="H10" i="11"/>
  <c r="I10" i="11" s="1"/>
  <c r="F142" i="3"/>
  <c r="D127" i="17"/>
  <c r="F127" i="17" s="1"/>
  <c r="E126" i="17"/>
  <c r="F126" i="17" s="1"/>
  <c r="F70" i="2"/>
  <c r="D61" i="16"/>
  <c r="F61" i="16" s="1"/>
  <c r="E69" i="2"/>
  <c r="E33" i="16"/>
  <c r="F34" i="16"/>
  <c r="D124" i="17"/>
  <c r="F124" i="17" s="1"/>
  <c r="E138" i="3"/>
  <c r="F139" i="3"/>
  <c r="G17" i="15"/>
  <c r="F34" i="2"/>
  <c r="D25" i="16"/>
  <c r="F25" i="16" s="1"/>
  <c r="E43" i="17"/>
  <c r="F43" i="17" s="1"/>
  <c r="F44" i="17"/>
  <c r="F164" i="3"/>
  <c r="E163" i="3"/>
  <c r="F163" i="3" s="1"/>
  <c r="E55" i="16"/>
  <c r="F56" i="16"/>
  <c r="Q39" i="17"/>
  <c r="Q6" i="16"/>
  <c r="N5" i="16" s="1"/>
  <c r="S7" i="16"/>
  <c r="S119" i="16" s="1"/>
  <c r="D132" i="17"/>
  <c r="F132" i="17" s="1"/>
  <c r="F147" i="3"/>
  <c r="E146" i="3"/>
  <c r="Q37" i="3" l="1"/>
  <c r="Q31" i="3" s="1"/>
  <c r="H37" i="3"/>
  <c r="R120" i="16"/>
  <c r="Q38" i="3"/>
  <c r="F159" i="3"/>
  <c r="Q29" i="3"/>
  <c r="F42" i="2"/>
  <c r="D33" i="16"/>
  <c r="F33" i="16" s="1"/>
  <c r="D85" i="16"/>
  <c r="F85" i="16" s="1"/>
  <c r="N5" i="2"/>
  <c r="C6" i="11"/>
  <c r="F8" i="3"/>
  <c r="S25" i="3"/>
  <c r="R6" i="17"/>
  <c r="C6" i="10"/>
  <c r="F6" i="10" s="1"/>
  <c r="F8" i="2"/>
  <c r="D8" i="16"/>
  <c r="F8" i="16" s="1"/>
  <c r="F132" i="3"/>
  <c r="F113" i="2"/>
  <c r="S132" i="2"/>
  <c r="S138" i="2" s="1"/>
  <c r="R139" i="2" s="1"/>
  <c r="E18" i="15"/>
  <c r="G18" i="15" s="1"/>
  <c r="M6" i="15"/>
  <c r="M36" i="15" s="1"/>
  <c r="Q51" i="3"/>
  <c r="D8" i="17"/>
  <c r="F8" i="17" s="1"/>
  <c r="G6" i="15"/>
  <c r="F7" i="2"/>
  <c r="D7" i="16"/>
  <c r="F7" i="16" s="1"/>
  <c r="F50" i="2"/>
  <c r="D41" i="16"/>
  <c r="F41" i="16" s="1"/>
  <c r="D103" i="16"/>
  <c r="F103" i="16" s="1"/>
  <c r="F121" i="2"/>
  <c r="E6" i="10"/>
  <c r="E114" i="3"/>
  <c r="O113" i="3"/>
  <c r="E6" i="16"/>
  <c r="F69" i="2"/>
  <c r="D60" i="16"/>
  <c r="F60" i="16" s="1"/>
  <c r="E68" i="2"/>
  <c r="E5" i="2" s="1"/>
  <c r="D113" i="16"/>
  <c r="F113" i="16" s="1"/>
  <c r="F132" i="2"/>
  <c r="C16" i="11"/>
  <c r="D16" i="11" s="1"/>
  <c r="K25" i="15"/>
  <c r="M25" i="15" s="1"/>
  <c r="E115" i="3"/>
  <c r="F146" i="3"/>
  <c r="E145" i="3"/>
  <c r="D131" i="17"/>
  <c r="F131" i="17" s="1"/>
  <c r="F55" i="16"/>
  <c r="E93" i="17"/>
  <c r="F93" i="17" s="1"/>
  <c r="F94" i="17"/>
  <c r="F97" i="2"/>
  <c r="D79" i="16"/>
  <c r="F79" i="16" s="1"/>
  <c r="R5" i="3"/>
  <c r="R7" i="3"/>
  <c r="R6" i="3" s="1"/>
  <c r="H9" i="11"/>
  <c r="I9" i="11" s="1"/>
  <c r="F138" i="3"/>
  <c r="E25" i="17"/>
  <c r="Q25" i="17"/>
  <c r="O7" i="17"/>
  <c r="O6" i="17" s="1"/>
  <c r="O5" i="17" s="1"/>
  <c r="S2" i="17" s="1"/>
  <c r="F5" i="2" l="1"/>
  <c r="D5" i="5"/>
  <c r="B7" i="10"/>
  <c r="E36" i="15"/>
  <c r="D6" i="11"/>
  <c r="C17" i="11"/>
  <c r="E7" i="10"/>
  <c r="C12" i="10"/>
  <c r="F16" i="10" s="1"/>
  <c r="Q48" i="3"/>
  <c r="K13" i="15" s="1"/>
  <c r="M13" i="15" s="1"/>
  <c r="G36" i="15"/>
  <c r="S25" i="17"/>
  <c r="S7" i="17" s="1"/>
  <c r="S6" i="17" s="1"/>
  <c r="L10" i="15"/>
  <c r="H11" i="11"/>
  <c r="I11" i="11" s="1"/>
  <c r="D130" i="17"/>
  <c r="F130" i="17" s="1"/>
  <c r="F145" i="3"/>
  <c r="F25" i="17"/>
  <c r="E7" i="17"/>
  <c r="F114" i="3"/>
  <c r="E113" i="3"/>
  <c r="F115" i="3"/>
  <c r="D105" i="17"/>
  <c r="F105" i="17" s="1"/>
  <c r="F68" i="2"/>
  <c r="D59" i="16"/>
  <c r="F59" i="16" s="1"/>
  <c r="E5" i="16"/>
  <c r="F6" i="2"/>
  <c r="D6" i="16"/>
  <c r="F6" i="16" s="1"/>
  <c r="C21" i="10" l="1"/>
  <c r="D21" i="10" s="1"/>
  <c r="F21" i="10" s="1"/>
  <c r="F19" i="10"/>
  <c r="F15" i="10"/>
  <c r="F18" i="10"/>
  <c r="F13" i="10"/>
  <c r="F17" i="10"/>
  <c r="F14" i="10"/>
  <c r="K12" i="15"/>
  <c r="M12" i="15" s="1"/>
  <c r="Q43" i="3"/>
  <c r="K11" i="15" s="1"/>
  <c r="M11" i="15" s="1"/>
  <c r="Q30" i="3"/>
  <c r="D17" i="11"/>
  <c r="E6" i="17"/>
  <c r="M10" i="15"/>
  <c r="L36" i="15"/>
  <c r="D5" i="16"/>
  <c r="F5" i="16" s="1"/>
  <c r="F113" i="3"/>
  <c r="H8" i="11"/>
  <c r="I8" i="11" s="1"/>
  <c r="V5" i="3" l="1"/>
  <c r="V3" i="3"/>
  <c r="Q28" i="3"/>
  <c r="O7" i="3" s="1"/>
  <c r="E5" i="17"/>
  <c r="E28" i="3" l="1"/>
  <c r="O6" i="3"/>
  <c r="O5" i="3" s="1"/>
  <c r="S28" i="3"/>
  <c r="S5" i="3" s="1"/>
  <c r="S2" i="3" s="1"/>
  <c r="U154" i="3" s="1"/>
  <c r="E7" i="3" l="1"/>
  <c r="E6" i="3" s="1"/>
  <c r="E5" i="3" s="1"/>
  <c r="F28" i="3"/>
  <c r="D7" i="17" l="1"/>
  <c r="F7" i="17" s="1"/>
  <c r="H6" i="11"/>
  <c r="I6" i="11" s="1"/>
  <c r="D6" i="17"/>
  <c r="F6" i="17" s="1"/>
  <c r="D12" i="10"/>
  <c r="F12" i="10" s="1"/>
  <c r="F6" i="3"/>
  <c r="F7" i="3"/>
  <c r="F5" i="3"/>
  <c r="D5" i="17"/>
  <c r="F5" i="17" s="1"/>
  <c r="F11" i="14"/>
  <c r="D20" i="10" l="1"/>
  <c r="F20" i="10" s="1"/>
  <c r="H17" i="11"/>
  <c r="I17" i="11" s="1"/>
</calcChain>
</file>

<file path=xl/sharedStrings.xml><?xml version="1.0" encoding="utf-8"?>
<sst xmlns="http://schemas.openxmlformats.org/spreadsheetml/2006/main" count="2873" uniqueCount="833">
  <si>
    <t>원</t>
    <phoneticPr fontId="2" type="noConversion"/>
  </si>
  <si>
    <t>x</t>
    <phoneticPr fontId="2" type="noConversion"/>
  </si>
  <si>
    <t>명</t>
    <phoneticPr fontId="2" type="noConversion"/>
  </si>
  <si>
    <t>=</t>
    <phoneticPr fontId="2" type="noConversion"/>
  </si>
  <si>
    <t xml:space="preserve"> </t>
    <phoneticPr fontId="2" type="noConversion"/>
  </si>
  <si>
    <t>ㅇ 산재보험</t>
    <phoneticPr fontId="2" type="noConversion"/>
  </si>
  <si>
    <t>ㅇ 고용보험</t>
    <phoneticPr fontId="2" type="noConversion"/>
  </si>
  <si>
    <t xml:space="preserve"> =</t>
    <phoneticPr fontId="2" type="noConversion"/>
  </si>
  <si>
    <t>ㅇ 급여</t>
    <phoneticPr fontId="2" type="noConversion"/>
  </si>
  <si>
    <t>ㅇ 퇴직적립금</t>
    <phoneticPr fontId="2" type="noConversion"/>
  </si>
  <si>
    <t xml:space="preserve"> - 기타 종사자 :</t>
    <phoneticPr fontId="2" type="noConversion"/>
  </si>
  <si>
    <t>ㅇ 국민연금</t>
    <phoneticPr fontId="2" type="noConversion"/>
  </si>
  <si>
    <t>회</t>
    <phoneticPr fontId="2" type="noConversion"/>
  </si>
  <si>
    <t>ㅇ 공공요금</t>
    <phoneticPr fontId="2" type="noConversion"/>
  </si>
  <si>
    <t>ㅇ 제세공과금</t>
    <phoneticPr fontId="2" type="noConversion"/>
  </si>
  <si>
    <t xml:space="preserve"> - 차량수리비</t>
    <phoneticPr fontId="2" type="noConversion"/>
  </si>
  <si>
    <t>월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</si>
  <si>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</si>
  <si>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</si>
  <si>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</si>
  <si>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월</t>
  </si>
  <si>
    <t>원</t>
    <phoneticPr fontId="2" type="noConversion"/>
  </si>
  <si>
    <t>ㅇ 건강보험</t>
    <phoneticPr fontId="2" type="noConversion"/>
  </si>
  <si>
    <t>121 기관운영비</t>
    <phoneticPr fontId="2" type="noConversion"/>
  </si>
  <si>
    <t>131 여비</t>
    <phoneticPr fontId="2" type="noConversion"/>
  </si>
  <si>
    <t>=</t>
    <phoneticPr fontId="2" type="noConversion"/>
  </si>
  <si>
    <t>계정과목</t>
    <phoneticPr fontId="2" type="noConversion"/>
  </si>
  <si>
    <t xml:space="preserve"> - 예비비 </t>
    <phoneticPr fontId="2" type="noConversion"/>
  </si>
  <si>
    <t xml:space="preserve"> - 여      비  </t>
    <phoneticPr fontId="2" type="noConversion"/>
  </si>
  <si>
    <t>총    계</t>
    <phoneticPr fontId="2" type="noConversion"/>
  </si>
  <si>
    <t>총   계</t>
    <phoneticPr fontId="2" type="noConversion"/>
  </si>
  <si>
    <t xml:space="preserve"> - 장기요양보험:</t>
    <phoneticPr fontId="2" type="noConversion"/>
  </si>
  <si>
    <t>x</t>
  </si>
  <si>
    <t xml:space="preserve"> -전기요금</t>
    <phoneticPr fontId="2" type="noConversion"/>
  </si>
  <si>
    <t xml:space="preserve"> -상하수도요금</t>
    <phoneticPr fontId="2" type="noConversion"/>
  </si>
  <si>
    <t>11 입소비용수입</t>
    <phoneticPr fontId="2" type="noConversion"/>
  </si>
  <si>
    <t>111 입소비용수입</t>
    <phoneticPr fontId="2" type="noConversion"/>
  </si>
  <si>
    <t>ㅇ 입소비용수입</t>
    <phoneticPr fontId="2" type="noConversion"/>
  </si>
  <si>
    <t>ㅇ 상급침실이용료</t>
    <phoneticPr fontId="2" type="noConversion"/>
  </si>
  <si>
    <t>ㅇ 비급여</t>
    <phoneticPr fontId="2" type="noConversion"/>
  </si>
  <si>
    <t>21 사업수입</t>
    <phoneticPr fontId="2" type="noConversion"/>
  </si>
  <si>
    <t>211 운영사업수입</t>
    <phoneticPr fontId="2" type="noConversion"/>
  </si>
  <si>
    <t>02 사업수입</t>
    <phoneticPr fontId="2" type="noConversion"/>
  </si>
  <si>
    <t>01 입소자부담금 수입</t>
    <phoneticPr fontId="2" type="noConversion"/>
  </si>
  <si>
    <t>31 과년도 수입</t>
    <phoneticPr fontId="2" type="noConversion"/>
  </si>
  <si>
    <t>311 과년도 수입</t>
    <phoneticPr fontId="2" type="noConversion"/>
  </si>
  <si>
    <t>03 과년도 수입</t>
    <phoneticPr fontId="2" type="noConversion"/>
  </si>
  <si>
    <t>41 보조금 수입</t>
    <phoneticPr fontId="2" type="noConversion"/>
  </si>
  <si>
    <t>412 시,도 보조금</t>
    <phoneticPr fontId="2" type="noConversion"/>
  </si>
  <si>
    <t>411 국고 보조금</t>
    <phoneticPr fontId="2" type="noConversion"/>
  </si>
  <si>
    <t>ㅇ 국고보조금</t>
    <phoneticPr fontId="2" type="noConversion"/>
  </si>
  <si>
    <t>=</t>
    <phoneticPr fontId="2" type="noConversion"/>
  </si>
  <si>
    <t>ㅇ시,도 보조금</t>
    <phoneticPr fontId="2" type="noConversion"/>
  </si>
  <si>
    <t>413 시군구 보조금</t>
    <phoneticPr fontId="2" type="noConversion"/>
  </si>
  <si>
    <t>414 기타 보조금</t>
    <phoneticPr fontId="2" type="noConversion"/>
  </si>
  <si>
    <t>ㅇ 시군구 보조금</t>
    <phoneticPr fontId="2" type="noConversion"/>
  </si>
  <si>
    <t>ㅇ 기타 보조금</t>
    <phoneticPr fontId="2" type="noConversion"/>
  </si>
  <si>
    <t>ㅇ 사업운영수입</t>
    <phoneticPr fontId="2" type="noConversion"/>
  </si>
  <si>
    <t xml:space="preserve"> - 특별위로금</t>
    <phoneticPr fontId="2" type="noConversion"/>
  </si>
  <si>
    <t xml:space="preserve"> - 국고보조금</t>
    <phoneticPr fontId="2" type="noConversion"/>
  </si>
  <si>
    <t xml:space="preserve"> - 상급침실이용료</t>
    <phoneticPr fontId="2" type="noConversion"/>
  </si>
  <si>
    <t>04 보조금수입</t>
    <phoneticPr fontId="2" type="noConversion"/>
  </si>
  <si>
    <t>ㅇ 장기요양급여수입</t>
    <phoneticPr fontId="2" type="noConversion"/>
  </si>
  <si>
    <t>ㅇ 후원금수입</t>
    <phoneticPr fontId="2" type="noConversion"/>
  </si>
  <si>
    <t xml:space="preserve"> - 후원금 수입</t>
    <phoneticPr fontId="2" type="noConversion"/>
  </si>
  <si>
    <t>71 차입금</t>
    <phoneticPr fontId="2" type="noConversion"/>
  </si>
  <si>
    <t>ㅇ 금융기관차입금</t>
    <phoneticPr fontId="2" type="noConversion"/>
  </si>
  <si>
    <t xml:space="preserve"> - 금융기관차입금</t>
    <phoneticPr fontId="2" type="noConversion"/>
  </si>
  <si>
    <t>712 기타차입금</t>
    <phoneticPr fontId="2" type="noConversion"/>
  </si>
  <si>
    <t>ㅇ 기타차입금</t>
    <phoneticPr fontId="2" type="noConversion"/>
  </si>
  <si>
    <t xml:space="preserve"> - 기타차입금</t>
    <phoneticPr fontId="2" type="noConversion"/>
  </si>
  <si>
    <t>07 차입금</t>
    <phoneticPr fontId="2" type="noConversion"/>
  </si>
  <si>
    <t>08 전입금</t>
    <phoneticPr fontId="2" type="noConversion"/>
  </si>
  <si>
    <t>81 전입금</t>
    <phoneticPr fontId="2" type="noConversion"/>
  </si>
  <si>
    <t>811 법인전입금</t>
    <phoneticPr fontId="2" type="noConversion"/>
  </si>
  <si>
    <t>ㅇ 법인전입금</t>
    <phoneticPr fontId="2" type="noConversion"/>
  </si>
  <si>
    <t xml:space="preserve"> - 법인전입금</t>
    <phoneticPr fontId="2" type="noConversion"/>
  </si>
  <si>
    <t>09 이월금</t>
    <phoneticPr fontId="2" type="noConversion"/>
  </si>
  <si>
    <t>ㅇ 전년도이월금</t>
    <phoneticPr fontId="2" type="noConversion"/>
  </si>
  <si>
    <t xml:space="preserve"> - 전년도이월금</t>
    <phoneticPr fontId="2" type="noConversion"/>
  </si>
  <si>
    <t>91 이월금</t>
    <phoneticPr fontId="2" type="noConversion"/>
  </si>
  <si>
    <t>911 전년도이월금</t>
    <phoneticPr fontId="2" type="noConversion"/>
  </si>
  <si>
    <t>10 잡수입</t>
    <phoneticPr fontId="2" type="noConversion"/>
  </si>
  <si>
    <t>101 잡수입</t>
    <phoneticPr fontId="2" type="noConversion"/>
  </si>
  <si>
    <t>ㅇ 불용품매각대</t>
    <phoneticPr fontId="2" type="noConversion"/>
  </si>
  <si>
    <t xml:space="preserve"> - 불용품매각대</t>
    <phoneticPr fontId="2" type="noConversion"/>
  </si>
  <si>
    <t>1013 기타잡수입</t>
    <phoneticPr fontId="2" type="noConversion"/>
  </si>
  <si>
    <t>ㅇ 기타잡수입</t>
    <phoneticPr fontId="2" type="noConversion"/>
  </si>
  <si>
    <t xml:space="preserve"> - 기타잡수입</t>
    <phoneticPr fontId="2" type="noConversion"/>
  </si>
  <si>
    <t>원</t>
    <phoneticPr fontId="2" type="noConversion"/>
  </si>
  <si>
    <t>111 급여</t>
    <phoneticPr fontId="2" type="noConversion"/>
  </si>
  <si>
    <t xml:space="preserve"> - 원   장  :</t>
    <phoneticPr fontId="2" type="noConversion"/>
  </si>
  <si>
    <t xml:space="preserve"> - 종사자 :</t>
    <phoneticPr fontId="2" type="noConversion"/>
  </si>
  <si>
    <t>월</t>
    <phoneticPr fontId="2" type="noConversion"/>
  </si>
  <si>
    <t>ㅇ 상여금</t>
    <phoneticPr fontId="2" type="noConversion"/>
  </si>
  <si>
    <t xml:space="preserve"> - 상여금</t>
    <phoneticPr fontId="2" type="noConversion"/>
  </si>
  <si>
    <t>113 일용잡금</t>
    <phoneticPr fontId="2" type="noConversion"/>
  </si>
  <si>
    <t>ㅇ 일용잡금</t>
    <phoneticPr fontId="2" type="noConversion"/>
  </si>
  <si>
    <t xml:space="preserve">  -  일용잡금</t>
    <phoneticPr fontId="2" type="noConversion"/>
  </si>
  <si>
    <t xml:space="preserve"> - 일용직 :</t>
    <phoneticPr fontId="2" type="noConversion"/>
  </si>
  <si>
    <t>122 직책보조비</t>
    <phoneticPr fontId="2" type="noConversion"/>
  </si>
  <si>
    <t>123 회의비</t>
    <phoneticPr fontId="2" type="noConversion"/>
  </si>
  <si>
    <t>ㅇ 기관운영비</t>
    <phoneticPr fontId="2" type="noConversion"/>
  </si>
  <si>
    <t xml:space="preserve"> -  경조사비</t>
    <phoneticPr fontId="2" type="noConversion"/>
  </si>
  <si>
    <t>ㅇ 여비</t>
    <phoneticPr fontId="2" type="noConversion"/>
  </si>
  <si>
    <t>ㅇ 차량비</t>
    <phoneticPr fontId="2" type="noConversion"/>
  </si>
  <si>
    <t>ㅇ 기타운영비</t>
    <phoneticPr fontId="2" type="noConversion"/>
  </si>
  <si>
    <t xml:space="preserve"> - 생계비</t>
    <phoneticPr fontId="2" type="noConversion"/>
  </si>
  <si>
    <t>ㅇ 수용기관경비</t>
    <phoneticPr fontId="2" type="noConversion"/>
  </si>
  <si>
    <t xml:space="preserve"> - 기저귀</t>
    <phoneticPr fontId="2" type="noConversion"/>
  </si>
  <si>
    <t>ㅇ 의료비</t>
    <phoneticPr fontId="2" type="noConversion"/>
  </si>
  <si>
    <t>ㅇ 장의비</t>
    <phoneticPr fontId="2" type="noConversion"/>
  </si>
  <si>
    <t xml:space="preserve"> - 장의비</t>
    <phoneticPr fontId="2" type="noConversion"/>
  </si>
  <si>
    <t>ㅇ 의료재활사업비</t>
    <phoneticPr fontId="2" type="noConversion"/>
  </si>
  <si>
    <t xml:space="preserve"> - 미지급급여</t>
    <phoneticPr fontId="2" type="noConversion"/>
  </si>
  <si>
    <t>ㅇ 이자지금금</t>
    <phoneticPr fontId="2" type="noConversion"/>
  </si>
  <si>
    <t xml:space="preserve"> - 이자지금금</t>
    <phoneticPr fontId="2" type="noConversion"/>
  </si>
  <si>
    <t xml:space="preserve"> - 잡지출 </t>
    <phoneticPr fontId="2" type="noConversion"/>
  </si>
  <si>
    <t xml:space="preserve"> - 1등급(경감)</t>
    <phoneticPr fontId="2" type="noConversion"/>
  </si>
  <si>
    <t xml:space="preserve"> - 2등급(일반)</t>
    <phoneticPr fontId="2" type="noConversion"/>
  </si>
  <si>
    <t xml:space="preserve"> - 2등급(경감)</t>
    <phoneticPr fontId="2" type="noConversion"/>
  </si>
  <si>
    <t>12 부담금</t>
    <phoneticPr fontId="2" type="noConversion"/>
  </si>
  <si>
    <t xml:space="preserve"> - 3등급(일반)</t>
    <phoneticPr fontId="2" type="noConversion"/>
  </si>
  <si>
    <t xml:space="preserve"> - 3등급(경감)</t>
    <phoneticPr fontId="2" type="noConversion"/>
  </si>
  <si>
    <t>1012 기타예금
     이자수입</t>
    <phoneticPr fontId="2" type="noConversion"/>
  </si>
  <si>
    <t>711 금융기관
    차입금</t>
    <phoneticPr fontId="2" type="noConversion"/>
  </si>
  <si>
    <t xml:space="preserve"> - 생계비보조
   (식재료비)</t>
    <phoneticPr fontId="2" type="noConversion"/>
  </si>
  <si>
    <t xml:space="preserve"> - 생계비보조
   (간식비)</t>
    <phoneticPr fontId="2" type="noConversion"/>
  </si>
  <si>
    <t xml:space="preserve"> - 월동대책비,
   동내의비</t>
    <phoneticPr fontId="2" type="noConversion"/>
  </si>
  <si>
    <t xml:space="preserve"> - 1등급(일반)</t>
    <phoneticPr fontId="2" type="noConversion"/>
  </si>
  <si>
    <t>ㅇ 기타예금이자</t>
    <phoneticPr fontId="2" type="noConversion"/>
  </si>
  <si>
    <t xml:space="preserve"> - 기타예금이자</t>
    <phoneticPr fontId="2" type="noConversion"/>
  </si>
  <si>
    <t xml:space="preserve"> - 1등급
   (기초수급)</t>
    <phoneticPr fontId="2" type="noConversion"/>
  </si>
  <si>
    <t xml:space="preserve"> - 2등급
   (기초수급)</t>
    <phoneticPr fontId="2" type="noConversion"/>
  </si>
  <si>
    <t xml:space="preserve"> - 3등급
   (기초수급)</t>
    <phoneticPr fontId="2" type="noConversion"/>
  </si>
  <si>
    <t>ㅇ식재료비 수입</t>
    <phoneticPr fontId="2" type="noConversion"/>
  </si>
  <si>
    <t xml:space="preserve"> -식재료비 수입</t>
    <phoneticPr fontId="2" type="noConversion"/>
  </si>
  <si>
    <r>
      <t>원</t>
    </r>
    <r>
      <rPr>
        <sz val="9"/>
        <color indexed="8"/>
        <rFont val="맑은 고딕"/>
        <family val="3"/>
        <charset val="129"/>
      </rPr>
      <t>ⅹ</t>
    </r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</si>
  <si>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</si>
  <si>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</si>
  <si>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</si>
  <si>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계  정  과  목</t>
    <phoneticPr fontId="2" type="noConversion"/>
  </si>
  <si>
    <t>금액</t>
    <phoneticPr fontId="2" type="noConversion"/>
  </si>
  <si>
    <t>비율(%)</t>
    <phoneticPr fontId="2" type="noConversion"/>
  </si>
  <si>
    <t>과  목</t>
    <phoneticPr fontId="2" type="noConversion"/>
  </si>
  <si>
    <t>입소자부담금</t>
    <phoneticPr fontId="2" type="noConversion"/>
  </si>
  <si>
    <t>사업수입</t>
    <phoneticPr fontId="2" type="noConversion"/>
  </si>
  <si>
    <t>과년도 수입</t>
    <phoneticPr fontId="2" type="noConversion"/>
  </si>
  <si>
    <t>보조금 수입</t>
    <phoneticPr fontId="2" type="noConversion"/>
  </si>
  <si>
    <t>요양급여 수입</t>
    <phoneticPr fontId="2" type="noConversion"/>
  </si>
  <si>
    <t>후원금 수입</t>
    <phoneticPr fontId="2" type="noConversion"/>
  </si>
  <si>
    <t>차 입 금</t>
    <phoneticPr fontId="2" type="noConversion"/>
  </si>
  <si>
    <t>전 입 금</t>
    <phoneticPr fontId="2" type="noConversion"/>
  </si>
  <si>
    <t>이 월 금</t>
    <phoneticPr fontId="2" type="noConversion"/>
  </si>
  <si>
    <t>잡 수 입</t>
    <phoneticPr fontId="2" type="noConversion"/>
  </si>
  <si>
    <t>사 업 비</t>
    <phoneticPr fontId="2" type="noConversion"/>
  </si>
  <si>
    <t>잡 지 출</t>
    <phoneticPr fontId="2" type="noConversion"/>
  </si>
  <si>
    <t>합   계</t>
    <phoneticPr fontId="2" type="noConversion"/>
  </si>
  <si>
    <t>합  계</t>
    <phoneticPr fontId="2" type="noConversion"/>
  </si>
  <si>
    <t>당해년도
예산액
(B)</t>
    <phoneticPr fontId="2" type="noConversion"/>
  </si>
  <si>
    <t>증  감(B-A)</t>
    <phoneticPr fontId="2" type="noConversion"/>
  </si>
  <si>
    <t>증 감
(B-A)</t>
    <phoneticPr fontId="2" type="noConversion"/>
  </si>
  <si>
    <t>증 감
(B-A)</t>
    <phoneticPr fontId="2" type="noConversion"/>
  </si>
  <si>
    <t xml:space="preserve"> - 교육참석경비</t>
    <phoneticPr fontId="2" type="noConversion"/>
  </si>
  <si>
    <t xml:space="preserve"> - 운영충당적립금</t>
    <phoneticPr fontId="2" type="noConversion"/>
  </si>
  <si>
    <t>천원으로 한다</t>
    <phoneticPr fontId="2" type="noConversion"/>
  </si>
  <si>
    <t xml:space="preserve">제2조 </t>
    <phoneticPr fontId="2" type="noConversion"/>
  </si>
  <si>
    <t>1)</t>
    <phoneticPr fontId="2" type="noConversion"/>
  </si>
  <si>
    <t>세입 재원은 세입명세서와 같다.</t>
    <phoneticPr fontId="2" type="noConversion"/>
  </si>
  <si>
    <t>2)</t>
    <phoneticPr fontId="2" type="noConversion"/>
  </si>
  <si>
    <t>세출의 재원은 세출명세서와 같다.</t>
    <phoneticPr fontId="2" type="noConversion"/>
  </si>
  <si>
    <t>제3조</t>
    <phoneticPr fontId="2" type="noConversion"/>
  </si>
  <si>
    <t>제4조</t>
    <phoneticPr fontId="2" type="noConversion"/>
  </si>
  <si>
    <t>제5조</t>
    <phoneticPr fontId="2" type="noConversion"/>
  </si>
  <si>
    <t xml:space="preserve">    추가경정예산의 성립 이전이라도 보조 및 후원목적에 적절할 경우 먼저사용할수 </t>
    <phoneticPr fontId="2" type="noConversion"/>
  </si>
  <si>
    <t>예  산  총  칙</t>
    <phoneticPr fontId="2" type="noConversion"/>
  </si>
  <si>
    <t xml:space="preserve">    있으며,  이는 차기 추가정정예산에  반영하여야 한다.</t>
    <phoneticPr fontId="2" type="noConversion"/>
  </si>
  <si>
    <t>1.세입.세출  총괄표</t>
    <phoneticPr fontId="2" type="noConversion"/>
  </si>
  <si>
    <t>일</t>
  </si>
  <si>
    <t>일</t>
    <phoneticPr fontId="2" type="noConversion"/>
  </si>
  <si>
    <t>112 식재료비수입</t>
    <phoneticPr fontId="2" type="noConversion"/>
  </si>
  <si>
    <t>121 상급침실이용료</t>
    <phoneticPr fontId="2" type="noConversion"/>
  </si>
  <si>
    <t>122 기타 비급여</t>
    <phoneticPr fontId="2" type="noConversion"/>
  </si>
  <si>
    <t xml:space="preserve"> -간식비 수입</t>
    <phoneticPr fontId="2" type="noConversion"/>
  </si>
  <si>
    <t>자금원천</t>
  </si>
  <si>
    <t>자부담</t>
    <phoneticPr fontId="2" type="noConversion"/>
  </si>
  <si>
    <t>보조금</t>
    <phoneticPr fontId="2" type="noConversion"/>
  </si>
  <si>
    <t>후원금</t>
    <phoneticPr fontId="2" type="noConversion"/>
  </si>
  <si>
    <t>자금원천</t>
    <phoneticPr fontId="2" type="noConversion"/>
  </si>
  <si>
    <t xml:space="preserve"> - 시설환경개선
     준비금</t>
    <phoneticPr fontId="2" type="noConversion"/>
  </si>
  <si>
    <t>단위(원)</t>
    <phoneticPr fontId="2" type="noConversion"/>
  </si>
  <si>
    <t>(단위:원)</t>
    <phoneticPr fontId="2" type="noConversion"/>
  </si>
  <si>
    <r>
      <t xml:space="preserve"> 산   출   기   초       </t>
    </r>
    <r>
      <rPr>
        <b/>
        <sz val="8"/>
        <color indexed="8"/>
        <rFont val="굴림체"/>
        <family val="3"/>
        <charset val="129"/>
      </rPr>
      <t xml:space="preserve"> </t>
    </r>
    <phoneticPr fontId="2" type="noConversion"/>
  </si>
  <si>
    <t>산    출    기    초</t>
    <phoneticPr fontId="2" type="noConversion"/>
  </si>
  <si>
    <t>잔액</t>
    <phoneticPr fontId="2" type="noConversion"/>
  </si>
  <si>
    <t>(금액단위: 천원)</t>
    <phoneticPr fontId="2" type="noConversion"/>
  </si>
  <si>
    <t>세입</t>
    <phoneticPr fontId="2" type="noConversion"/>
  </si>
  <si>
    <t>세출</t>
    <phoneticPr fontId="2" type="noConversion"/>
  </si>
  <si>
    <t xml:space="preserve"> - 조리사</t>
    <phoneticPr fontId="2" type="noConversion"/>
  </si>
  <si>
    <t>구분</t>
    <phoneticPr fontId="2" type="noConversion"/>
  </si>
  <si>
    <t>비용</t>
    <phoneticPr fontId="2" type="noConversion"/>
  </si>
  <si>
    <t xml:space="preserve"> - 세입 대비 비율</t>
    <phoneticPr fontId="2" type="noConversion"/>
  </si>
  <si>
    <t>비고</t>
    <phoneticPr fontId="2" type="noConversion"/>
  </si>
  <si>
    <t>구   분</t>
    <phoneticPr fontId="2" type="noConversion"/>
  </si>
  <si>
    <t>비율(%)</t>
    <phoneticPr fontId="2" type="noConversion"/>
  </si>
  <si>
    <t>기    타</t>
    <phoneticPr fontId="2" type="noConversion"/>
  </si>
  <si>
    <t>준비금</t>
    <phoneticPr fontId="2" type="noConversion"/>
  </si>
  <si>
    <t>적립금</t>
    <phoneticPr fontId="2" type="noConversion"/>
  </si>
  <si>
    <t>운영비</t>
    <phoneticPr fontId="2" type="noConversion"/>
  </si>
  <si>
    <t>생계비</t>
    <phoneticPr fontId="2" type="noConversion"/>
  </si>
  <si>
    <t>인건비</t>
    <phoneticPr fontId="2" type="noConversion"/>
  </si>
  <si>
    <t>합    계</t>
    <phoneticPr fontId="2" type="noConversion"/>
  </si>
  <si>
    <t>ㅇ 식재료비</t>
    <phoneticPr fontId="2" type="noConversion"/>
  </si>
  <si>
    <t>합계</t>
    <phoneticPr fontId="2" type="noConversion"/>
  </si>
  <si>
    <t>포 트 폴 리 오</t>
    <phoneticPr fontId="2" type="noConversion"/>
  </si>
  <si>
    <t xml:space="preserve"> - 자금원천 비율</t>
    <phoneticPr fontId="2" type="noConversion"/>
  </si>
  <si>
    <t xml:space="preserve"> -전화.통신
  (인터넷)</t>
    <phoneticPr fontId="2" type="noConversion"/>
  </si>
  <si>
    <t>예산 총액은 각각</t>
    <phoneticPr fontId="2" type="noConversion"/>
  </si>
  <si>
    <t>국가 또는 지방자치단체로부터 교부된 보조금 및 지정후원금,법인전입금 등은</t>
    <phoneticPr fontId="2" type="noConversion"/>
  </si>
  <si>
    <t>ㅇ 차입금 상환금</t>
    <phoneticPr fontId="2" type="noConversion"/>
  </si>
  <si>
    <t xml:space="preserve"> - 차입금 원금상환</t>
    <phoneticPr fontId="2" type="noConversion"/>
  </si>
  <si>
    <t xml:space="preserve"> - 기타차입금 상환</t>
    <phoneticPr fontId="2" type="noConversion"/>
  </si>
  <si>
    <t>예비비+잡지출</t>
    <phoneticPr fontId="2" type="noConversion"/>
  </si>
  <si>
    <r>
      <t xml:space="preserve">제1조  사회복지시설 </t>
    </r>
    <r>
      <rPr>
        <b/>
        <u/>
        <sz val="12"/>
        <rFont val="굴림체"/>
        <family val="3"/>
        <charset val="129"/>
      </rPr>
      <t/>
    </r>
    <phoneticPr fontId="2" type="noConversion"/>
  </si>
  <si>
    <t xml:space="preserve"> 세입·세출 예산서</t>
    <phoneticPr fontId="2" type="noConversion"/>
  </si>
  <si>
    <t>예산은  일반회계  세입.세출</t>
    <phoneticPr fontId="2" type="noConversion"/>
  </si>
  <si>
    <t>도  명시  이월사업은  명시 이월사업비 명세서와 같다.</t>
    <phoneticPr fontId="2" type="noConversion"/>
  </si>
  <si>
    <t>도 계속비 사업은  계속비 조서와 같다</t>
    <phoneticPr fontId="2" type="noConversion"/>
  </si>
  <si>
    <t xml:space="preserve"> - 이미용료</t>
    <phoneticPr fontId="2" type="noConversion"/>
  </si>
  <si>
    <t xml:space="preserve"> - 위생용품</t>
    <phoneticPr fontId="2" type="noConversion"/>
  </si>
  <si>
    <t xml:space="preserve"> -도시가스</t>
    <phoneticPr fontId="2" type="noConversion"/>
  </si>
  <si>
    <t xml:space="preserve"> - 생계비(수급자)</t>
    <phoneticPr fontId="2" type="noConversion"/>
  </si>
  <si>
    <t xml:space="preserve"> - 간식비(수급자)</t>
    <phoneticPr fontId="2" type="noConversion"/>
  </si>
  <si>
    <t xml:space="preserve"> - 간식비</t>
    <phoneticPr fontId="2" type="noConversion"/>
  </si>
  <si>
    <t xml:space="preserve"> - 화재보험</t>
    <phoneticPr fontId="2" type="noConversion"/>
  </si>
  <si>
    <t xml:space="preserve"> - 배상
   책임보험</t>
    <phoneticPr fontId="2" type="noConversion"/>
  </si>
  <si>
    <t>211 시설비</t>
    <phoneticPr fontId="2" type="noConversion"/>
  </si>
  <si>
    <t xml:space="preserve"> - 시설비 </t>
    <phoneticPr fontId="2" type="noConversion"/>
  </si>
  <si>
    <t xml:space="preserve"> - 자산취득비</t>
    <phoneticPr fontId="2" type="noConversion"/>
  </si>
  <si>
    <t>311 생계비</t>
    <phoneticPr fontId="2" type="noConversion"/>
  </si>
  <si>
    <t>312 수용기관
    경비</t>
    <phoneticPr fontId="2" type="noConversion"/>
  </si>
  <si>
    <t>314 의료비</t>
    <phoneticPr fontId="2" type="noConversion"/>
  </si>
  <si>
    <t>315 장의비</t>
    <phoneticPr fontId="2" type="noConversion"/>
  </si>
  <si>
    <t>511 과년도 지출</t>
    <phoneticPr fontId="2" type="noConversion"/>
  </si>
  <si>
    <t>711 잡지출</t>
    <phoneticPr fontId="2" type="noConversion"/>
  </si>
  <si>
    <t>811 예비비</t>
    <phoneticPr fontId="2" type="noConversion"/>
  </si>
  <si>
    <t xml:space="preserve"> -시설장비유지비</t>
    <phoneticPr fontId="2" type="noConversion"/>
  </si>
  <si>
    <t xml:space="preserve"> -치매예방프로그램</t>
    <phoneticPr fontId="2" type="noConversion"/>
  </si>
  <si>
    <t xml:space="preserve"> - 4등급(일반)</t>
    <phoneticPr fontId="2" type="noConversion"/>
  </si>
  <si>
    <t xml:space="preserve"> - 4등급(경감)</t>
    <phoneticPr fontId="2" type="noConversion"/>
  </si>
  <si>
    <t xml:space="preserve"> - 4등급
   (기초수급)</t>
    <phoneticPr fontId="2" type="noConversion"/>
  </si>
  <si>
    <t>월</t>
    <phoneticPr fontId="2" type="noConversion"/>
  </si>
  <si>
    <t>ㅇ 과년도수입</t>
    <phoneticPr fontId="2" type="noConversion"/>
  </si>
  <si>
    <t xml:space="preserve"> - 과년도수입</t>
    <phoneticPr fontId="2" type="noConversion"/>
  </si>
  <si>
    <t>재산조성비</t>
    <phoneticPr fontId="2" type="noConversion"/>
  </si>
  <si>
    <t>과년도 지출</t>
    <phoneticPr fontId="2" type="noConversion"/>
  </si>
  <si>
    <t>SWOT
분석</t>
    <phoneticPr fontId="2" type="noConversion"/>
  </si>
  <si>
    <t>재 무 회 계 보 고 서</t>
    <phoneticPr fontId="2" type="noConversion"/>
  </si>
  <si>
    <t>월</t>
    <phoneticPr fontId="2" type="noConversion"/>
  </si>
  <si>
    <t xml:space="preserve"> - 사업운영수입</t>
    <phoneticPr fontId="2" type="noConversion"/>
  </si>
  <si>
    <t xml:space="preserve"> - 추가인력</t>
    <phoneticPr fontId="2" type="noConversion"/>
  </si>
  <si>
    <t xml:space="preserve"> - 프로그램</t>
    <phoneticPr fontId="2" type="noConversion"/>
  </si>
  <si>
    <r>
      <t xml:space="preserve"> 1. </t>
    </r>
    <r>
      <rPr>
        <b/>
        <sz val="12"/>
        <color indexed="63"/>
        <rFont val="HY헤드라인M"/>
        <family val="1"/>
        <charset val="129"/>
      </rPr>
      <t>S</t>
    </r>
    <r>
      <rPr>
        <sz val="12"/>
        <color indexed="63"/>
        <rFont val="굴림"/>
        <family val="3"/>
        <charset val="129"/>
      </rPr>
      <t>trength(강점)</t>
    </r>
    <phoneticPr fontId="2" type="noConversion"/>
  </si>
  <si>
    <r>
      <t xml:space="preserve"> 2. </t>
    </r>
    <r>
      <rPr>
        <b/>
        <sz val="12"/>
        <rFont val="HY헤드라인M"/>
        <family val="1"/>
        <charset val="129"/>
      </rPr>
      <t>W</t>
    </r>
    <r>
      <rPr>
        <sz val="12"/>
        <rFont val="굴림"/>
        <family val="3"/>
        <charset val="129"/>
      </rPr>
      <t>eakness(약점)</t>
    </r>
    <phoneticPr fontId="2" type="noConversion"/>
  </si>
  <si>
    <r>
      <t xml:space="preserve"> 3. </t>
    </r>
    <r>
      <rPr>
        <b/>
        <sz val="12"/>
        <rFont val="HY헤드라인M"/>
        <family val="1"/>
        <charset val="129"/>
      </rPr>
      <t>O</t>
    </r>
    <r>
      <rPr>
        <sz val="12"/>
        <rFont val="굴림"/>
        <family val="3"/>
        <charset val="129"/>
      </rPr>
      <t>pportunity(기회,가능성)</t>
    </r>
    <phoneticPr fontId="2" type="noConversion"/>
  </si>
  <si>
    <r>
      <t xml:space="preserve"> 4. </t>
    </r>
    <r>
      <rPr>
        <b/>
        <sz val="12"/>
        <rFont val="HY헤드라인M"/>
        <family val="1"/>
        <charset val="129"/>
      </rPr>
      <t>T</t>
    </r>
    <r>
      <rPr>
        <sz val="12"/>
        <rFont val="굴림"/>
        <family val="3"/>
        <charset val="129"/>
      </rPr>
      <t>hreat(위협)</t>
    </r>
    <phoneticPr fontId="2" type="noConversion"/>
  </si>
  <si>
    <t>자산조성비</t>
    <phoneticPr fontId="2" type="noConversion"/>
  </si>
  <si>
    <t>ㅇ 직책보조비</t>
    <phoneticPr fontId="2" type="noConversion"/>
  </si>
  <si>
    <t xml:space="preserve"> - 직책보조비</t>
    <phoneticPr fontId="2" type="noConversion"/>
  </si>
  <si>
    <t xml:space="preserve"> - 5등급(일반)</t>
    <phoneticPr fontId="2" type="noConversion"/>
  </si>
  <si>
    <t xml:space="preserve"> - 5등급(경감)</t>
    <phoneticPr fontId="2" type="noConversion"/>
  </si>
  <si>
    <t xml:space="preserve"> - 5등급
   (기초수급)</t>
    <phoneticPr fontId="2" type="noConversion"/>
  </si>
  <si>
    <t xml:space="preserve"> - 렌탈료</t>
    <phoneticPr fontId="2" type="noConversion"/>
  </si>
  <si>
    <t>회</t>
    <phoneticPr fontId="2" type="noConversion"/>
  </si>
  <si>
    <t xml:space="preserve"> - 의료폐기물</t>
    <phoneticPr fontId="2" type="noConversion"/>
  </si>
  <si>
    <t xml:space="preserve"> - 물티슈</t>
    <phoneticPr fontId="2" type="noConversion"/>
  </si>
  <si>
    <t xml:space="preserve"> - 목욕용품</t>
    <phoneticPr fontId="2" type="noConversion"/>
  </si>
  <si>
    <t xml:space="preserve"> -  기타행사</t>
    <phoneticPr fontId="2" type="noConversion"/>
  </si>
  <si>
    <t xml:space="preserve"> - 보호자회의</t>
    <phoneticPr fontId="2" type="noConversion"/>
  </si>
  <si>
    <t xml:space="preserve"> - 안전점검비</t>
    <phoneticPr fontId="2" type="noConversion"/>
  </si>
  <si>
    <t xml:space="preserve"> - 관리비</t>
    <phoneticPr fontId="2" type="noConversion"/>
  </si>
  <si>
    <t>직 원 보 수 일 람 표</t>
    <phoneticPr fontId="2" type="noConversion"/>
  </si>
  <si>
    <t>금액단위:원</t>
    <phoneticPr fontId="2" type="noConversion"/>
  </si>
  <si>
    <t xml:space="preserve"> - 등급외 
  (단기입소자)</t>
    <phoneticPr fontId="2" type="noConversion"/>
  </si>
  <si>
    <t xml:space="preserve"> - 시군구보조금</t>
    <phoneticPr fontId="2" type="noConversion"/>
  </si>
  <si>
    <t xml:space="preserve"> - 기타종사자</t>
    <phoneticPr fontId="2" type="noConversion"/>
  </si>
  <si>
    <t xml:space="preserve"> - 비상약품</t>
    <phoneticPr fontId="2" type="noConversion"/>
  </si>
  <si>
    <t xml:space="preserve"> - 사무용품비</t>
    <phoneticPr fontId="2" type="noConversion"/>
  </si>
  <si>
    <t xml:space="preserve"> - 간호사</t>
    <phoneticPr fontId="2" type="noConversion"/>
  </si>
  <si>
    <t xml:space="preserve"> - 가스보험</t>
    <phoneticPr fontId="2" type="noConversion"/>
  </si>
  <si>
    <t xml:space="preserve"> - 사무원</t>
    <phoneticPr fontId="2" type="noConversion"/>
  </si>
  <si>
    <t xml:space="preserve"> - 요양보호사</t>
    <phoneticPr fontId="2" type="noConversion"/>
  </si>
  <si>
    <t xml:space="preserve"> - 촉탁의</t>
    <phoneticPr fontId="2" type="noConversion"/>
  </si>
  <si>
    <t xml:space="preserve"> - 기타세금</t>
    <phoneticPr fontId="2" type="noConversion"/>
  </si>
  <si>
    <t xml:space="preserve"> - 복지사</t>
    <phoneticPr fontId="2" type="noConversion"/>
  </si>
  <si>
    <t xml:space="preserve"> - 세탁비</t>
    <phoneticPr fontId="2" type="noConversion"/>
  </si>
  <si>
    <t xml:space="preserve"> - 대표/원장</t>
    <phoneticPr fontId="2" type="noConversion"/>
  </si>
  <si>
    <t xml:space="preserve"> - 기장대행료</t>
    <phoneticPr fontId="2" type="noConversion"/>
  </si>
  <si>
    <t xml:space="preserve"> - 차량유류비</t>
    <phoneticPr fontId="2" type="noConversion"/>
  </si>
  <si>
    <t>11 적립금 및 준비금
   (특별회계)</t>
    <phoneticPr fontId="2" type="noConversion"/>
  </si>
  <si>
    <t>111 운영충당적립금
    및 환경개선준비금</t>
    <phoneticPr fontId="2" type="noConversion"/>
  </si>
  <si>
    <t>1111 운영충당
     적립금</t>
    <phoneticPr fontId="2" type="noConversion"/>
  </si>
  <si>
    <t>1112 시설환경
     개선준비금</t>
    <phoneticPr fontId="2" type="noConversion"/>
  </si>
  <si>
    <t>ㅇ 운영충당
   적립금</t>
    <phoneticPr fontId="2" type="noConversion"/>
  </si>
  <si>
    <t xml:space="preserve"> - 운영충당
   적립금</t>
    <phoneticPr fontId="2" type="noConversion"/>
  </si>
  <si>
    <t>ㅇ 시설환경
   개선준비금</t>
    <phoneticPr fontId="2" type="noConversion"/>
  </si>
  <si>
    <t xml:space="preserve"> - 시설환경
   개선준비금</t>
    <phoneticPr fontId="2" type="noConversion"/>
  </si>
  <si>
    <t>05 후원금 수입</t>
    <phoneticPr fontId="2" type="noConversion"/>
  </si>
  <si>
    <t>51 후원금 수입</t>
    <phoneticPr fontId="2" type="noConversion"/>
  </si>
  <si>
    <t>511 후원금 수입</t>
    <phoneticPr fontId="2" type="noConversion"/>
  </si>
  <si>
    <t>06 요양급여수입</t>
    <phoneticPr fontId="2" type="noConversion"/>
  </si>
  <si>
    <t>61 요양급여수입</t>
    <phoneticPr fontId="2" type="noConversion"/>
  </si>
  <si>
    <t>612 가산금수입</t>
    <phoneticPr fontId="2" type="noConversion"/>
  </si>
  <si>
    <t xml:space="preserve"> - 가산금수입</t>
    <phoneticPr fontId="2" type="noConversion"/>
  </si>
  <si>
    <t>812 법인전입금
    (후원금)</t>
    <phoneticPr fontId="2" type="noConversion"/>
  </si>
  <si>
    <t>813 기타전입금</t>
    <phoneticPr fontId="2" type="noConversion"/>
  </si>
  <si>
    <t>814 기타전입금
    (후원금)</t>
    <phoneticPr fontId="2" type="noConversion"/>
  </si>
  <si>
    <t>ㅇ 법인전입금
    (후원금)</t>
    <phoneticPr fontId="2" type="noConversion"/>
  </si>
  <si>
    <t xml:space="preserve"> - 법인전입금
    (후원금)</t>
    <phoneticPr fontId="2" type="noConversion"/>
  </si>
  <si>
    <t>ㅇ 기타전입금</t>
    <phoneticPr fontId="2" type="noConversion"/>
  </si>
  <si>
    <t xml:space="preserve"> - 기타전입금</t>
    <phoneticPr fontId="2" type="noConversion"/>
  </si>
  <si>
    <t>ㅇ 기타전입금
    (후원금)</t>
    <phoneticPr fontId="2" type="noConversion"/>
  </si>
  <si>
    <t xml:space="preserve"> - 기타전입금
    (후원금)</t>
    <phoneticPr fontId="2" type="noConversion"/>
  </si>
  <si>
    <t>912 전년도이월금
    (후원금)</t>
    <phoneticPr fontId="2" type="noConversion"/>
  </si>
  <si>
    <t>913 전년도이월금
    (식재료비)</t>
    <phoneticPr fontId="2" type="noConversion"/>
  </si>
  <si>
    <t>1013 직원식재료
     수입</t>
    <phoneticPr fontId="2" type="noConversion"/>
  </si>
  <si>
    <t>ㅇ전년도이월금
  (후원금)</t>
    <phoneticPr fontId="2" type="noConversion"/>
  </si>
  <si>
    <t xml:space="preserve"> -전년도이월금
  (후원금)</t>
    <phoneticPr fontId="2" type="noConversion"/>
  </si>
  <si>
    <t>ㅇ전년도이월금
  (식재료비)</t>
    <phoneticPr fontId="2" type="noConversion"/>
  </si>
  <si>
    <t xml:space="preserve"> -전년도이월금
  (식재료비)</t>
    <phoneticPr fontId="2" type="noConversion"/>
  </si>
  <si>
    <t xml:space="preserve">ㅇ 직원식재료
   수입 </t>
    <phoneticPr fontId="2" type="noConversion"/>
  </si>
  <si>
    <t xml:space="preserve"> - 직원식재료
   수입</t>
    <phoneticPr fontId="2" type="noConversion"/>
  </si>
  <si>
    <t>1011 불용품
     매각대</t>
    <phoneticPr fontId="2" type="noConversion"/>
  </si>
  <si>
    <t>112 각종수당</t>
    <phoneticPr fontId="2" type="noConversion"/>
  </si>
  <si>
    <t>115  퇴직금 및
    퇴직적립금</t>
    <phoneticPr fontId="2" type="noConversion"/>
  </si>
  <si>
    <t>116 사회보험
    부담비용</t>
    <phoneticPr fontId="2" type="noConversion"/>
  </si>
  <si>
    <t>132 수용비
    및 수수료</t>
    <phoneticPr fontId="2" type="noConversion"/>
  </si>
  <si>
    <t>133 공공요금
  및 각종 세금
  공과금</t>
    <phoneticPr fontId="2" type="noConversion"/>
  </si>
  <si>
    <t>135 차량비</t>
    <phoneticPr fontId="2" type="noConversion"/>
  </si>
  <si>
    <t>136 임차료</t>
    <phoneticPr fontId="2" type="noConversion"/>
  </si>
  <si>
    <t>ㅇ 임차료</t>
    <phoneticPr fontId="2" type="noConversion"/>
  </si>
  <si>
    <t xml:space="preserve"> - 건강진단비</t>
    <phoneticPr fontId="2" type="noConversion"/>
  </si>
  <si>
    <t xml:space="preserve"> - 복리후생</t>
    <phoneticPr fontId="2" type="noConversion"/>
  </si>
  <si>
    <t xml:space="preserve"> - 상용의류비</t>
    <phoneticPr fontId="2" type="noConversion"/>
  </si>
  <si>
    <t xml:space="preserve"> - 임차료</t>
    <phoneticPr fontId="2" type="noConversion"/>
  </si>
  <si>
    <t>137 기타운영비</t>
    <phoneticPr fontId="2" type="noConversion"/>
  </si>
  <si>
    <t>01 사무비</t>
    <phoneticPr fontId="2" type="noConversion"/>
  </si>
  <si>
    <t>11 인건비</t>
    <phoneticPr fontId="2" type="noConversion"/>
  </si>
  <si>
    <t>12 업무추진비</t>
    <phoneticPr fontId="2" type="noConversion"/>
  </si>
  <si>
    <t>13 운영비</t>
    <phoneticPr fontId="2" type="noConversion"/>
  </si>
  <si>
    <t>02 재산조성비</t>
    <phoneticPr fontId="2" type="noConversion"/>
  </si>
  <si>
    <t>21 시설비</t>
    <phoneticPr fontId="40" type="noConversion"/>
  </si>
  <si>
    <t>212 시설장비
    유지비</t>
    <phoneticPr fontId="2" type="noConversion"/>
  </si>
  <si>
    <t>213 자산취득비</t>
    <phoneticPr fontId="2" type="noConversion"/>
  </si>
  <si>
    <t xml:space="preserve"> - 직원포상</t>
    <phoneticPr fontId="2" type="noConversion"/>
  </si>
  <si>
    <t xml:space="preserve"> - 프로그램비용</t>
    <phoneticPr fontId="2" type="noConversion"/>
  </si>
  <si>
    <t>03 사업비</t>
    <phoneticPr fontId="2" type="noConversion"/>
  </si>
  <si>
    <t>31 운영비</t>
    <phoneticPr fontId="2" type="noConversion"/>
  </si>
  <si>
    <t>331 프로그램사업비</t>
    <phoneticPr fontId="2" type="noConversion"/>
  </si>
  <si>
    <t>04 전출금</t>
    <phoneticPr fontId="2" type="noConversion"/>
  </si>
  <si>
    <t>41 전출금</t>
    <phoneticPr fontId="2" type="noConversion"/>
  </si>
  <si>
    <t>412 기타전출금</t>
    <phoneticPr fontId="2" type="noConversion"/>
  </si>
  <si>
    <t xml:space="preserve"> - 기타전출금</t>
    <phoneticPr fontId="2" type="noConversion"/>
  </si>
  <si>
    <t xml:space="preserve"> -법인회계전출금</t>
    <phoneticPr fontId="2" type="noConversion"/>
  </si>
  <si>
    <t>411 법인회계
    전출금</t>
    <phoneticPr fontId="2" type="noConversion"/>
  </si>
  <si>
    <t>05 과년도 지출</t>
    <phoneticPr fontId="2" type="noConversion"/>
  </si>
  <si>
    <t>51 과년도 지출</t>
    <phoneticPr fontId="2" type="noConversion"/>
  </si>
  <si>
    <t>06 상환금</t>
    <phoneticPr fontId="2" type="noConversion"/>
  </si>
  <si>
    <t>61 부채상환금</t>
    <phoneticPr fontId="2" type="noConversion"/>
  </si>
  <si>
    <t>611 원금상환금</t>
    <phoneticPr fontId="2" type="noConversion"/>
  </si>
  <si>
    <t>612 이자지불금</t>
    <phoneticPr fontId="2" type="noConversion"/>
  </si>
  <si>
    <t>07 잡지출</t>
    <phoneticPr fontId="2" type="noConversion"/>
  </si>
  <si>
    <t>71 잡지출</t>
    <phoneticPr fontId="2" type="noConversion"/>
  </si>
  <si>
    <t>812 반환금</t>
    <phoneticPr fontId="2" type="noConversion"/>
  </si>
  <si>
    <t xml:space="preserve"> - 반환금</t>
    <phoneticPr fontId="2" type="noConversion"/>
  </si>
  <si>
    <t>08 예비비 및 기타</t>
    <phoneticPr fontId="2" type="noConversion"/>
  </si>
  <si>
    <t>09 적립금 및 준비금</t>
    <phoneticPr fontId="2" type="noConversion"/>
  </si>
  <si>
    <t>91 운영충당적립금
및 환경개선준비금</t>
    <phoneticPr fontId="2" type="noConversion"/>
  </si>
  <si>
    <t>81 예비비</t>
    <phoneticPr fontId="2" type="noConversion"/>
  </si>
  <si>
    <t>911 적립금</t>
    <phoneticPr fontId="2" type="noConversion"/>
  </si>
  <si>
    <t>10 적립금 및 준비금
   (특별회계)</t>
    <phoneticPr fontId="2" type="noConversion"/>
  </si>
  <si>
    <t>1011 운영충당
     적립금</t>
    <phoneticPr fontId="2" type="noConversion"/>
  </si>
  <si>
    <t>1012 시설환경
   개선준비금</t>
    <phoneticPr fontId="2" type="noConversion"/>
  </si>
  <si>
    <t>33 OO사업비</t>
    <phoneticPr fontId="2" type="noConversion"/>
  </si>
  <si>
    <t>101 운영충당적립금
  및 환경개선준비금</t>
    <phoneticPr fontId="2" type="noConversion"/>
  </si>
  <si>
    <t>912 시설환경
  개선준비금</t>
    <phoneticPr fontId="2" type="noConversion"/>
  </si>
  <si>
    <t>2018년도  추경세입예산서</t>
    <phoneticPr fontId="2" type="noConversion"/>
  </si>
  <si>
    <t>2018년도 추경세출예산서</t>
    <phoneticPr fontId="2" type="noConversion"/>
  </si>
  <si>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</si>
  <si>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</si>
  <si>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</si>
  <si>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</si>
  <si>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</si>
  <si>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</si>
  <si>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</si>
  <si>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</si>
  <si>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</si>
  <si>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</si>
  <si>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입소자부담금수입</t>
  </si>
  <si>
    <t>입소비용수입</t>
  </si>
  <si>
    <t>본인부담 비용수입</t>
  </si>
  <si>
    <t>사무비</t>
  </si>
  <si>
    <t>인건비</t>
  </si>
  <si>
    <t>식재료 비용수입</t>
  </si>
  <si>
    <t>보조금수입</t>
  </si>
  <si>
    <t>시군구보조금</t>
  </si>
  <si>
    <t>요양급여수입</t>
  </si>
  <si>
    <t>장기요양급여수입</t>
  </si>
  <si>
    <t>차입금</t>
  </si>
  <si>
    <t>기타차입금</t>
  </si>
  <si>
    <t>업무추진비</t>
  </si>
  <si>
    <t>이월금</t>
  </si>
  <si>
    <t>전년도이월금</t>
  </si>
  <si>
    <t>운영비</t>
  </si>
  <si>
    <t>사업비</t>
  </si>
  <si>
    <t>부채상환금</t>
  </si>
  <si>
    <t>잡지출</t>
  </si>
  <si>
    <t>합계</t>
  </si>
  <si>
    <t>증감액</t>
    <phoneticPr fontId="2" type="noConversion"/>
  </si>
  <si>
    <t>2.보수일람표</t>
    <phoneticPr fontId="2" type="noConversion"/>
  </si>
  <si>
    <t>3.세입 명세서</t>
    <phoneticPr fontId="2" type="noConversion"/>
  </si>
  <si>
    <t>2-1.추경예산총괄표</t>
    <phoneticPr fontId="2" type="noConversion"/>
  </si>
  <si>
    <t>3-1.추경세입 명세서</t>
    <phoneticPr fontId="2" type="noConversion"/>
  </si>
  <si>
    <t>3-2. 추경세출 명세서</t>
    <phoneticPr fontId="2" type="noConversion"/>
  </si>
  <si>
    <t>111 본인부담금수입</t>
    <phoneticPr fontId="2" type="noConversion"/>
  </si>
  <si>
    <t>ㅇ 본인부담금수입</t>
    <phoneticPr fontId="2" type="noConversion"/>
  </si>
  <si>
    <t>사업운영수입</t>
    <phoneticPr fontId="2" type="noConversion"/>
  </si>
  <si>
    <t>과년도수입</t>
    <phoneticPr fontId="2" type="noConversion"/>
  </si>
  <si>
    <t>후원금수입</t>
    <phoneticPr fontId="2" type="noConversion"/>
  </si>
  <si>
    <t>전입금</t>
    <phoneticPr fontId="2" type="noConversion"/>
  </si>
  <si>
    <t>기타전입금</t>
    <phoneticPr fontId="2" type="noConversion"/>
  </si>
  <si>
    <t>잡수입</t>
    <phoneticPr fontId="2" type="noConversion"/>
  </si>
  <si>
    <t>기타잡수입</t>
    <phoneticPr fontId="2" type="noConversion"/>
  </si>
  <si>
    <t>적립금 및 
준비금
(특별회계)</t>
    <phoneticPr fontId="2" type="noConversion"/>
  </si>
  <si>
    <t>운영충당금
및
환경개선준비금</t>
    <phoneticPr fontId="2" type="noConversion"/>
  </si>
  <si>
    <t>운영충당금</t>
    <phoneticPr fontId="2" type="noConversion"/>
  </si>
  <si>
    <t>당초
(A)</t>
    <phoneticPr fontId="2" type="noConversion"/>
  </si>
  <si>
    <t>추경
(B)</t>
    <phoneticPr fontId="2" type="noConversion"/>
  </si>
  <si>
    <t>ㅇ 가산금수입</t>
    <phoneticPr fontId="2" type="noConversion"/>
  </si>
  <si>
    <t>가산금수입</t>
    <phoneticPr fontId="2" type="noConversion"/>
  </si>
  <si>
    <t>611 장기요양급여
    수입</t>
    <phoneticPr fontId="2" type="noConversion"/>
  </si>
  <si>
    <t>ㅇ 사회보험
   부담비용</t>
    <phoneticPr fontId="2" type="noConversion"/>
  </si>
  <si>
    <t>ㅇ 기초생활
   수금자생계비</t>
    <phoneticPr fontId="2" type="noConversion"/>
  </si>
  <si>
    <t>ㅇ 회의비</t>
    <phoneticPr fontId="2" type="noConversion"/>
  </si>
  <si>
    <t>ㅇ 수용비및수수료</t>
    <phoneticPr fontId="2" type="noConversion"/>
  </si>
  <si>
    <t>시설비</t>
    <phoneticPr fontId="2" type="noConversion"/>
  </si>
  <si>
    <t>00사업비</t>
    <phoneticPr fontId="2" type="noConversion"/>
  </si>
  <si>
    <t>전출금</t>
    <phoneticPr fontId="2" type="noConversion"/>
  </si>
  <si>
    <t>상환금</t>
    <phoneticPr fontId="2" type="noConversion"/>
  </si>
  <si>
    <t>예비비및기타</t>
    <phoneticPr fontId="2" type="noConversion"/>
  </si>
  <si>
    <t>예비비</t>
    <phoneticPr fontId="2" type="noConversion"/>
  </si>
  <si>
    <t>적립금및준비금</t>
    <phoneticPr fontId="2" type="noConversion"/>
  </si>
  <si>
    <t>운영충당적립금</t>
    <phoneticPr fontId="2" type="noConversion"/>
  </si>
  <si>
    <t>특별회계</t>
    <phoneticPr fontId="2" type="noConversion"/>
  </si>
  <si>
    <t>과년도지출</t>
    <phoneticPr fontId="2" type="noConversion"/>
  </si>
  <si>
    <t xml:space="preserve"> - 직원생계비</t>
    <phoneticPr fontId="2" type="noConversion"/>
  </si>
  <si>
    <t xml:space="preserve"> - 기타행사</t>
    <phoneticPr fontId="2" type="noConversion"/>
  </si>
  <si>
    <t>ㅇ 공공요금 및
각종세금 공과금</t>
    <phoneticPr fontId="2" type="noConversion"/>
  </si>
  <si>
    <t>인건비 비율</t>
    <phoneticPr fontId="2" type="noConversion"/>
  </si>
  <si>
    <t>장기요양요원 인건비</t>
    <phoneticPr fontId="2" type="noConversion"/>
  </si>
  <si>
    <t>총수입</t>
    <phoneticPr fontId="2" type="noConversion"/>
  </si>
  <si>
    <t>세    입</t>
    <phoneticPr fontId="2" type="noConversion"/>
  </si>
  <si>
    <t>세     출</t>
    <phoneticPr fontId="2" type="noConversion"/>
  </si>
  <si>
    <t>사 무 비</t>
    <phoneticPr fontId="2" type="noConversion"/>
  </si>
  <si>
    <t>사업수입</t>
    <phoneticPr fontId="2" type="noConversion"/>
  </si>
  <si>
    <t>예비비 및 기타</t>
    <phoneticPr fontId="2" type="noConversion"/>
  </si>
  <si>
    <t>적립금 및 준비금</t>
    <phoneticPr fontId="2" type="noConversion"/>
  </si>
  <si>
    <t>적립금 및 준비금
(특별회계)</t>
    <phoneticPr fontId="2" type="noConversion"/>
  </si>
  <si>
    <t>적립금 및
준비금(특별회계)</t>
    <phoneticPr fontId="2" type="noConversion"/>
  </si>
  <si>
    <t>순번</t>
    <phoneticPr fontId="2" type="noConversion"/>
  </si>
  <si>
    <t>인적사항</t>
    <phoneticPr fontId="2" type="noConversion"/>
  </si>
  <si>
    <t>기 본 급 여 및 제 수 당</t>
    <phoneticPr fontId="2" type="noConversion"/>
  </si>
  <si>
    <t>성명</t>
    <phoneticPr fontId="2" type="noConversion"/>
  </si>
  <si>
    <t>기본급</t>
    <phoneticPr fontId="2" type="noConversion"/>
  </si>
  <si>
    <t>고정연장수당</t>
    <phoneticPr fontId="2" type="noConversion"/>
  </si>
  <si>
    <t>고정휴일수당</t>
    <phoneticPr fontId="2" type="noConversion"/>
  </si>
  <si>
    <t>지급총액</t>
    <phoneticPr fontId="2" type="noConversion"/>
  </si>
  <si>
    <t>합    계</t>
    <phoneticPr fontId="2" type="noConversion"/>
  </si>
  <si>
    <t xml:space="preserve"> - 운전보조원</t>
    <phoneticPr fontId="2" type="noConversion"/>
  </si>
  <si>
    <t>직종</t>
    <phoneticPr fontId="2" type="noConversion"/>
  </si>
  <si>
    <t>퇴직금</t>
    <phoneticPr fontId="2" type="noConversion"/>
  </si>
  <si>
    <t>사회보험</t>
    <phoneticPr fontId="2" type="noConversion"/>
  </si>
  <si>
    <t>직종별 급여합계</t>
    <phoneticPr fontId="2" type="noConversion"/>
  </si>
  <si>
    <t>직종별 퇴직금</t>
    <phoneticPr fontId="2" type="noConversion"/>
  </si>
  <si>
    <t>직종별 4대보험</t>
    <phoneticPr fontId="2" type="noConversion"/>
  </si>
  <si>
    <t>구분</t>
    <phoneticPr fontId="2" type="noConversion"/>
  </si>
  <si>
    <t>직접비</t>
    <phoneticPr fontId="2" type="noConversion"/>
  </si>
  <si>
    <t xml:space="preserve"> - 1등급(6%)</t>
    <phoneticPr fontId="2" type="noConversion"/>
  </si>
  <si>
    <t xml:space="preserve"> - 2등급(6%)</t>
    <phoneticPr fontId="2" type="noConversion"/>
  </si>
  <si>
    <t xml:space="preserve"> - 3등급(6%)</t>
    <phoneticPr fontId="2" type="noConversion"/>
  </si>
  <si>
    <t xml:space="preserve"> - 4등급(일반)</t>
    <phoneticPr fontId="2" type="noConversion"/>
  </si>
  <si>
    <t xml:space="preserve"> - 4등급(6%)</t>
    <phoneticPr fontId="2" type="noConversion"/>
  </si>
  <si>
    <t xml:space="preserve"> - 5등급(6%)</t>
    <phoneticPr fontId="2" type="noConversion"/>
  </si>
  <si>
    <t xml:space="preserve"> - 인지지원
     (6%)</t>
    <phoneticPr fontId="2" type="noConversion"/>
  </si>
  <si>
    <t xml:space="preserve"> - 인지지원
    (일반)</t>
    <phoneticPr fontId="2" type="noConversion"/>
  </si>
  <si>
    <t xml:space="preserve"> - 인지지원
   (기초수급)</t>
    <phoneticPr fontId="2" type="noConversion"/>
  </si>
  <si>
    <t>수익사업
(자부담)</t>
    <phoneticPr fontId="2" type="noConversion"/>
  </si>
  <si>
    <t>4. 세출 명세서</t>
    <phoneticPr fontId="2" type="noConversion"/>
  </si>
  <si>
    <t>잔액</t>
    <phoneticPr fontId="2" type="noConversion"/>
  </si>
  <si>
    <t>인건비 비율</t>
    <phoneticPr fontId="2" type="noConversion"/>
  </si>
  <si>
    <t>계정과목</t>
    <phoneticPr fontId="2" type="noConversion"/>
  </si>
  <si>
    <t>증 감
(B-A)</t>
    <phoneticPr fontId="2" type="noConversion"/>
  </si>
  <si>
    <t>산    출    기    초</t>
    <phoneticPr fontId="2" type="noConversion"/>
  </si>
  <si>
    <t>단위(원)</t>
    <phoneticPr fontId="2" type="noConversion"/>
  </si>
  <si>
    <t>장기요양요원 인건비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</si>
  <si>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</si>
  <si>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</si>
  <si>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</si>
  <si>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보조금</t>
    <phoneticPr fontId="2" type="noConversion"/>
  </si>
  <si>
    <t>수익사업</t>
    <phoneticPr fontId="2" type="noConversion"/>
  </si>
  <si>
    <t>후원금</t>
    <phoneticPr fontId="2" type="noConversion"/>
  </si>
  <si>
    <t>총    계</t>
    <phoneticPr fontId="2" type="noConversion"/>
  </si>
  <si>
    <t>01 사무비</t>
    <phoneticPr fontId="2" type="noConversion"/>
  </si>
  <si>
    <t>간접비</t>
    <phoneticPr fontId="2" type="noConversion"/>
  </si>
  <si>
    <t>원</t>
    <phoneticPr fontId="2" type="noConversion"/>
  </si>
  <si>
    <t>x</t>
    <phoneticPr fontId="2" type="noConversion"/>
  </si>
  <si>
    <t>명</t>
    <phoneticPr fontId="2" type="noConversion"/>
  </si>
  <si>
    <t>=</t>
    <phoneticPr fontId="2" type="noConversion"/>
  </si>
  <si>
    <t>월</t>
    <phoneticPr fontId="2" type="noConversion"/>
  </si>
  <si>
    <t>=</t>
    <phoneticPr fontId="2" type="noConversion"/>
  </si>
  <si>
    <t>원</t>
    <phoneticPr fontId="2" type="noConversion"/>
  </si>
  <si>
    <t>x</t>
    <phoneticPr fontId="2" type="noConversion"/>
  </si>
  <si>
    <t>명</t>
    <phoneticPr fontId="2" type="noConversion"/>
  </si>
  <si>
    <t>월</t>
    <phoneticPr fontId="2" type="noConversion"/>
  </si>
  <si>
    <t>=</t>
    <phoneticPr fontId="2" type="noConversion"/>
  </si>
  <si>
    <t xml:space="preserve"> - 조리원</t>
    <phoneticPr fontId="2" type="noConversion"/>
  </si>
  <si>
    <t>원</t>
    <phoneticPr fontId="2" type="noConversion"/>
  </si>
  <si>
    <t>x</t>
    <phoneticPr fontId="2" type="noConversion"/>
  </si>
  <si>
    <t>명</t>
    <phoneticPr fontId="2" type="noConversion"/>
  </si>
  <si>
    <t>월</t>
    <phoneticPr fontId="2" type="noConversion"/>
  </si>
  <si>
    <t>=</t>
    <phoneticPr fontId="2" type="noConversion"/>
  </si>
  <si>
    <t>직접비</t>
    <phoneticPr fontId="2" type="noConversion"/>
  </si>
  <si>
    <t xml:space="preserve"> - 간호조무사</t>
    <phoneticPr fontId="2" type="noConversion"/>
  </si>
  <si>
    <t>원</t>
    <phoneticPr fontId="2" type="noConversion"/>
  </si>
  <si>
    <t>x</t>
    <phoneticPr fontId="2" type="noConversion"/>
  </si>
  <si>
    <t>명</t>
    <phoneticPr fontId="2" type="noConversion"/>
  </si>
  <si>
    <t>월</t>
    <phoneticPr fontId="2" type="noConversion"/>
  </si>
  <si>
    <t>=</t>
    <phoneticPr fontId="2" type="noConversion"/>
  </si>
  <si>
    <t xml:space="preserve"> - 기타종사자</t>
    <phoneticPr fontId="2" type="noConversion"/>
  </si>
  <si>
    <t>월</t>
    <phoneticPr fontId="2" type="noConversion"/>
  </si>
  <si>
    <t>=</t>
    <phoneticPr fontId="2" type="noConversion"/>
  </si>
  <si>
    <t>112 각종수당</t>
    <phoneticPr fontId="2" type="noConversion"/>
  </si>
  <si>
    <t>ㅇ 각종수당</t>
    <phoneticPr fontId="2" type="noConversion"/>
  </si>
  <si>
    <t>=</t>
    <phoneticPr fontId="2" type="noConversion"/>
  </si>
  <si>
    <t xml:space="preserve"> - 제수당</t>
    <phoneticPr fontId="2" type="noConversion"/>
  </si>
  <si>
    <t>회</t>
    <phoneticPr fontId="2" type="noConversion"/>
  </si>
  <si>
    <t>113 일용잡금</t>
    <phoneticPr fontId="2" type="noConversion"/>
  </si>
  <si>
    <t>ㅇ 일용잡금</t>
    <phoneticPr fontId="2" type="noConversion"/>
  </si>
  <si>
    <t>=</t>
    <phoneticPr fontId="2" type="noConversion"/>
  </si>
  <si>
    <t xml:space="preserve">  -  일용잡금</t>
    <phoneticPr fontId="2" type="noConversion"/>
  </si>
  <si>
    <t>115  퇴직금 및
    퇴직적립금</t>
    <phoneticPr fontId="2" type="noConversion"/>
  </si>
  <si>
    <t>ㅇ 퇴직적립금</t>
    <phoneticPr fontId="2" type="noConversion"/>
  </si>
  <si>
    <t>ㅇ 퇴직적립금
   간접비</t>
    <phoneticPr fontId="2" type="noConversion"/>
  </si>
  <si>
    <t>ㅇ 퇴직적립금
   직접비</t>
    <phoneticPr fontId="2" type="noConversion"/>
  </si>
  <si>
    <t>116 사회보험
    부담비용</t>
    <phoneticPr fontId="2" type="noConversion"/>
  </si>
  <si>
    <t>ㅇ 사회보험
   부담비용</t>
    <phoneticPr fontId="2" type="noConversion"/>
  </si>
  <si>
    <t>간접비</t>
    <phoneticPr fontId="2" type="noConversion"/>
  </si>
  <si>
    <t>ㅇ 건강보험</t>
    <phoneticPr fontId="2" type="noConversion"/>
  </si>
  <si>
    <t xml:space="preserve"> - 원   장  :</t>
    <phoneticPr fontId="2" type="noConversion"/>
  </si>
  <si>
    <t>=</t>
    <phoneticPr fontId="2" type="noConversion"/>
  </si>
  <si>
    <t xml:space="preserve"> - 종사자 간접비</t>
    <phoneticPr fontId="2" type="noConversion"/>
  </si>
  <si>
    <t xml:space="preserve"> - 종사자 직접비</t>
    <phoneticPr fontId="2" type="noConversion"/>
  </si>
  <si>
    <t xml:space="preserve"> - 일용직 :</t>
    <phoneticPr fontId="2" type="noConversion"/>
  </si>
  <si>
    <t xml:space="preserve"> - 장기요양보험
   간접비</t>
    <phoneticPr fontId="2" type="noConversion"/>
  </si>
  <si>
    <t xml:space="preserve"> - 장기요양보험
   직접비</t>
    <phoneticPr fontId="2" type="noConversion"/>
  </si>
  <si>
    <t>ㅇ 국민연금</t>
    <phoneticPr fontId="2" type="noConversion"/>
  </si>
  <si>
    <t>원</t>
    <phoneticPr fontId="2" type="noConversion"/>
  </si>
  <si>
    <t>x</t>
    <phoneticPr fontId="2" type="noConversion"/>
  </si>
  <si>
    <t xml:space="preserve"> - 종사자 간접비</t>
    <phoneticPr fontId="2" type="noConversion"/>
  </si>
  <si>
    <t xml:space="preserve"> - 종사자 직접비</t>
    <phoneticPr fontId="2" type="noConversion"/>
  </si>
  <si>
    <t xml:space="preserve"> - 기타 종사자 :</t>
    <phoneticPr fontId="2" type="noConversion"/>
  </si>
  <si>
    <t>ㅇ 산재보험</t>
    <phoneticPr fontId="2" type="noConversion"/>
  </si>
  <si>
    <t xml:space="preserve"> - 종사자 간접비</t>
    <phoneticPr fontId="2" type="noConversion"/>
  </si>
  <si>
    <t>원</t>
    <phoneticPr fontId="2" type="noConversion"/>
  </si>
  <si>
    <t>x</t>
    <phoneticPr fontId="2" type="noConversion"/>
  </si>
  <si>
    <t>=</t>
    <phoneticPr fontId="2" type="noConversion"/>
  </si>
  <si>
    <t xml:space="preserve"> - 종사자 직접비</t>
    <phoneticPr fontId="2" type="noConversion"/>
  </si>
  <si>
    <t xml:space="preserve"> - 기타 종사자 :</t>
    <phoneticPr fontId="2" type="noConversion"/>
  </si>
  <si>
    <t>원</t>
    <phoneticPr fontId="2" type="noConversion"/>
  </si>
  <si>
    <t>x</t>
    <phoneticPr fontId="2" type="noConversion"/>
  </si>
  <si>
    <t>=</t>
    <phoneticPr fontId="2" type="noConversion"/>
  </si>
  <si>
    <t>ㅇ 고용보험</t>
    <phoneticPr fontId="2" type="noConversion"/>
  </si>
  <si>
    <t xml:space="preserve"> - 원   장  :</t>
    <phoneticPr fontId="2" type="noConversion"/>
  </si>
  <si>
    <t>원</t>
    <phoneticPr fontId="2" type="noConversion"/>
  </si>
  <si>
    <t>x</t>
    <phoneticPr fontId="2" type="noConversion"/>
  </si>
  <si>
    <t>=</t>
    <phoneticPr fontId="2" type="noConversion"/>
  </si>
  <si>
    <t xml:space="preserve"> - 종사자 간접비</t>
    <phoneticPr fontId="2" type="noConversion"/>
  </si>
  <si>
    <t>원</t>
    <phoneticPr fontId="2" type="noConversion"/>
  </si>
  <si>
    <t>x</t>
    <phoneticPr fontId="2" type="noConversion"/>
  </si>
  <si>
    <t>=</t>
    <phoneticPr fontId="2" type="noConversion"/>
  </si>
  <si>
    <t xml:space="preserve"> - 기타 종사자 :</t>
    <phoneticPr fontId="2" type="noConversion"/>
  </si>
  <si>
    <t>원</t>
    <phoneticPr fontId="2" type="noConversion"/>
  </si>
  <si>
    <t>x</t>
    <phoneticPr fontId="2" type="noConversion"/>
  </si>
  <si>
    <t>=</t>
    <phoneticPr fontId="2" type="noConversion"/>
  </si>
  <si>
    <t>12 업무추진비</t>
    <phoneticPr fontId="2" type="noConversion"/>
  </si>
  <si>
    <t>121 기관운영비</t>
    <phoneticPr fontId="2" type="noConversion"/>
  </si>
  <si>
    <t>ㅇ 기관운영비</t>
    <phoneticPr fontId="2" type="noConversion"/>
  </si>
  <si>
    <t xml:space="preserve"> -  경조사비</t>
    <phoneticPr fontId="2" type="noConversion"/>
  </si>
  <si>
    <t xml:space="preserve"> </t>
    <phoneticPr fontId="2" type="noConversion"/>
  </si>
  <si>
    <t xml:space="preserve"> -  기관운영비
유관기관업무협의</t>
    <phoneticPr fontId="2" type="noConversion"/>
  </si>
  <si>
    <t>122 직책보조비</t>
    <phoneticPr fontId="2" type="noConversion"/>
  </si>
  <si>
    <t>ㅇ 직책보조비</t>
    <phoneticPr fontId="2" type="noConversion"/>
  </si>
  <si>
    <t>=</t>
    <phoneticPr fontId="2" type="noConversion"/>
  </si>
  <si>
    <t xml:space="preserve"> - 직책보조비</t>
    <phoneticPr fontId="2" type="noConversion"/>
  </si>
  <si>
    <t>원</t>
    <phoneticPr fontId="2" type="noConversion"/>
  </si>
  <si>
    <t>x</t>
    <phoneticPr fontId="2" type="noConversion"/>
  </si>
  <si>
    <t>명</t>
    <phoneticPr fontId="2" type="noConversion"/>
  </si>
  <si>
    <t>월</t>
    <phoneticPr fontId="2" type="noConversion"/>
  </si>
  <si>
    <t>=</t>
    <phoneticPr fontId="2" type="noConversion"/>
  </si>
  <si>
    <t>123 회의비</t>
    <phoneticPr fontId="2" type="noConversion"/>
  </si>
  <si>
    <t>ㅇ 회의비</t>
    <phoneticPr fontId="2" type="noConversion"/>
  </si>
  <si>
    <t xml:space="preserve"> - 운영위원회</t>
    <phoneticPr fontId="2" type="noConversion"/>
  </si>
  <si>
    <t xml:space="preserve"> - 보호자회의</t>
    <phoneticPr fontId="2" type="noConversion"/>
  </si>
  <si>
    <t>13 운영비</t>
    <phoneticPr fontId="2" type="noConversion"/>
  </si>
  <si>
    <t>131 여비</t>
    <phoneticPr fontId="2" type="noConversion"/>
  </si>
  <si>
    <t>ㅇ 여비</t>
    <phoneticPr fontId="2" type="noConversion"/>
  </si>
  <si>
    <t xml:space="preserve"> - 여      비  </t>
    <phoneticPr fontId="2" type="noConversion"/>
  </si>
  <si>
    <t>원</t>
    <phoneticPr fontId="2" type="noConversion"/>
  </si>
  <si>
    <t>x</t>
    <phoneticPr fontId="2" type="noConversion"/>
  </si>
  <si>
    <t xml:space="preserve"> </t>
    <phoneticPr fontId="2" type="noConversion"/>
  </si>
  <si>
    <t>회</t>
    <phoneticPr fontId="2" type="noConversion"/>
  </si>
  <si>
    <t>=</t>
    <phoneticPr fontId="2" type="noConversion"/>
  </si>
  <si>
    <t>132 수용비
    및 수수료</t>
    <phoneticPr fontId="2" type="noConversion"/>
  </si>
  <si>
    <t>ㅇ 수용비및수수료</t>
    <phoneticPr fontId="2" type="noConversion"/>
  </si>
  <si>
    <t xml:space="preserve"> - 사무용품비</t>
    <phoneticPr fontId="2" type="noConversion"/>
  </si>
  <si>
    <t xml:space="preserve"> - 렌탈료</t>
    <phoneticPr fontId="2" type="noConversion"/>
  </si>
  <si>
    <t xml:space="preserve"> - 기장대행료</t>
    <phoneticPr fontId="2" type="noConversion"/>
  </si>
  <si>
    <t xml:space="preserve"> - 우편료</t>
    <phoneticPr fontId="2" type="noConversion"/>
  </si>
  <si>
    <t>133 공공요금
  및 각종 세금
  공과금</t>
    <phoneticPr fontId="2" type="noConversion"/>
  </si>
  <si>
    <t>ㅇ 공공요금 및
각종세금 공과금</t>
    <phoneticPr fontId="2" type="noConversion"/>
  </si>
  <si>
    <t>ㅇ 제세공과금</t>
    <phoneticPr fontId="2" type="noConversion"/>
  </si>
  <si>
    <t xml:space="preserve"> </t>
    <phoneticPr fontId="2" type="noConversion"/>
  </si>
  <si>
    <t xml:space="preserve"> =</t>
    <phoneticPr fontId="2" type="noConversion"/>
  </si>
  <si>
    <t xml:space="preserve"> - 자동차보험</t>
    <phoneticPr fontId="2" type="noConversion"/>
  </si>
  <si>
    <t>원</t>
    <phoneticPr fontId="2" type="noConversion"/>
  </si>
  <si>
    <t>x</t>
    <phoneticPr fontId="2" type="noConversion"/>
  </si>
  <si>
    <t>대</t>
    <phoneticPr fontId="2" type="noConversion"/>
  </si>
  <si>
    <t>=</t>
    <phoneticPr fontId="2" type="noConversion"/>
  </si>
  <si>
    <t>회</t>
    <phoneticPr fontId="2" type="noConversion"/>
  </si>
  <si>
    <t xml:space="preserve"> - 화재보험</t>
    <phoneticPr fontId="2" type="noConversion"/>
  </si>
  <si>
    <t xml:space="preserve"> - 배상
   책임보험</t>
    <phoneticPr fontId="2" type="noConversion"/>
  </si>
  <si>
    <t>ㅇ 공공요금</t>
    <phoneticPr fontId="2" type="noConversion"/>
  </si>
  <si>
    <t xml:space="preserve"> - 전화.통신
   (인터넷)</t>
    <phoneticPr fontId="2" type="noConversion"/>
  </si>
  <si>
    <t xml:space="preserve"> - 휴대폰 등</t>
    <phoneticPr fontId="2" type="noConversion"/>
  </si>
  <si>
    <t xml:space="preserve"> -도시가스</t>
    <phoneticPr fontId="2" type="noConversion"/>
  </si>
  <si>
    <t xml:space="preserve"> -상하수도요금</t>
    <phoneticPr fontId="2" type="noConversion"/>
  </si>
  <si>
    <t>135 차량비</t>
    <phoneticPr fontId="2" type="noConversion"/>
  </si>
  <si>
    <t>ㅇ 차량비</t>
    <phoneticPr fontId="2" type="noConversion"/>
  </si>
  <si>
    <t xml:space="preserve"> - 차량유류비</t>
    <phoneticPr fontId="2" type="noConversion"/>
  </si>
  <si>
    <t xml:space="preserve"> - 차량수리비</t>
    <phoneticPr fontId="2" type="noConversion"/>
  </si>
  <si>
    <t>136 임차료</t>
    <phoneticPr fontId="2" type="noConversion"/>
  </si>
  <si>
    <t xml:space="preserve"> - 임차료</t>
    <phoneticPr fontId="2" type="noConversion"/>
  </si>
  <si>
    <t>원</t>
    <phoneticPr fontId="2" type="noConversion"/>
  </si>
  <si>
    <t>x</t>
    <phoneticPr fontId="2" type="noConversion"/>
  </si>
  <si>
    <t xml:space="preserve"> </t>
    <phoneticPr fontId="2" type="noConversion"/>
  </si>
  <si>
    <t>=</t>
    <phoneticPr fontId="2" type="noConversion"/>
  </si>
  <si>
    <t>137 기타운영비</t>
    <phoneticPr fontId="2" type="noConversion"/>
  </si>
  <si>
    <t>ㅇ 기타운영비</t>
    <phoneticPr fontId="2" type="noConversion"/>
  </si>
  <si>
    <t xml:space="preserve"> - 건강진단비</t>
    <phoneticPr fontId="2" type="noConversion"/>
  </si>
  <si>
    <t xml:space="preserve"> - 기타행사</t>
    <phoneticPr fontId="2" type="noConversion"/>
  </si>
  <si>
    <t xml:space="preserve"> - 직원포상</t>
    <phoneticPr fontId="2" type="noConversion"/>
  </si>
  <si>
    <t xml:space="preserve"> - 프로그램비용</t>
    <phoneticPr fontId="2" type="noConversion"/>
  </si>
  <si>
    <t xml:space="preserve"> - 회식비</t>
    <phoneticPr fontId="2" type="noConversion"/>
  </si>
  <si>
    <t xml:space="preserve"> - 복리후생</t>
    <phoneticPr fontId="2" type="noConversion"/>
  </si>
  <si>
    <t xml:space="preserve"> - 상용의류비</t>
    <phoneticPr fontId="2" type="noConversion"/>
  </si>
  <si>
    <t>02 재산조성비</t>
    <phoneticPr fontId="2" type="noConversion"/>
  </si>
  <si>
    <t>21 시설비</t>
    <phoneticPr fontId="40" type="noConversion"/>
  </si>
  <si>
    <t>ㅇ 시설비</t>
    <phoneticPr fontId="2" type="noConversion"/>
  </si>
  <si>
    <t>211 시설비</t>
    <phoneticPr fontId="2" type="noConversion"/>
  </si>
  <si>
    <t xml:space="preserve"> - 주방보수</t>
    <phoneticPr fontId="2" type="noConversion"/>
  </si>
  <si>
    <t>212 시설장비
    유지비</t>
    <phoneticPr fontId="2" type="noConversion"/>
  </si>
  <si>
    <t>원</t>
    <phoneticPr fontId="2" type="noConversion"/>
  </si>
  <si>
    <t>x</t>
    <phoneticPr fontId="2" type="noConversion"/>
  </si>
  <si>
    <t xml:space="preserve"> </t>
    <phoneticPr fontId="2" type="noConversion"/>
  </si>
  <si>
    <t>=</t>
    <phoneticPr fontId="2" type="noConversion"/>
  </si>
  <si>
    <t>03 사업비</t>
    <phoneticPr fontId="2" type="noConversion"/>
  </si>
  <si>
    <t>31 운영비</t>
    <phoneticPr fontId="2" type="noConversion"/>
  </si>
  <si>
    <t>311 생계비</t>
    <phoneticPr fontId="2" type="noConversion"/>
  </si>
  <si>
    <t>ㅇ 생계비</t>
    <phoneticPr fontId="2" type="noConversion"/>
  </si>
  <si>
    <t>ㅇ 식재료비</t>
    <phoneticPr fontId="2" type="noConversion"/>
  </si>
  <si>
    <t>원</t>
    <phoneticPr fontId="2" type="noConversion"/>
  </si>
  <si>
    <t>x</t>
    <phoneticPr fontId="2" type="noConversion"/>
  </si>
  <si>
    <t xml:space="preserve"> - 간식비</t>
    <phoneticPr fontId="2" type="noConversion"/>
  </si>
  <si>
    <t xml:space="preserve"> - 생계비(수급자)</t>
    <phoneticPr fontId="2" type="noConversion"/>
  </si>
  <si>
    <t xml:space="preserve"> - 간식비(수급자)</t>
    <phoneticPr fontId="2" type="noConversion"/>
  </si>
  <si>
    <t>명</t>
    <phoneticPr fontId="2" type="noConversion"/>
  </si>
  <si>
    <t>월</t>
    <phoneticPr fontId="2" type="noConversion"/>
  </si>
  <si>
    <t>=</t>
    <phoneticPr fontId="2" type="noConversion"/>
  </si>
  <si>
    <t>312 수용기관
    경비</t>
    <phoneticPr fontId="2" type="noConversion"/>
  </si>
  <si>
    <t>ㅇ 수용기관경비</t>
    <phoneticPr fontId="2" type="noConversion"/>
  </si>
  <si>
    <t xml:space="preserve"> - 기저귀</t>
    <phoneticPr fontId="2" type="noConversion"/>
  </si>
  <si>
    <t xml:space="preserve"> - 물티슈</t>
    <phoneticPr fontId="2" type="noConversion"/>
  </si>
  <si>
    <t xml:space="preserve"> - 목욕용품</t>
    <phoneticPr fontId="2" type="noConversion"/>
  </si>
  <si>
    <t>314 의료비</t>
    <phoneticPr fontId="2" type="noConversion"/>
  </si>
  <si>
    <t xml:space="preserve"> - 의료비</t>
    <phoneticPr fontId="2" type="noConversion"/>
  </si>
  <si>
    <t>원</t>
    <phoneticPr fontId="2" type="noConversion"/>
  </si>
  <si>
    <t>x</t>
    <phoneticPr fontId="2" type="noConversion"/>
  </si>
  <si>
    <t>회</t>
    <phoneticPr fontId="2" type="noConversion"/>
  </si>
  <si>
    <t>315 장의비</t>
    <phoneticPr fontId="2" type="noConversion"/>
  </si>
  <si>
    <t>ㅇ 장의비</t>
    <phoneticPr fontId="2" type="noConversion"/>
  </si>
  <si>
    <t xml:space="preserve"> - 장의비</t>
    <phoneticPr fontId="2" type="noConversion"/>
  </si>
  <si>
    <t>33 치매예방사업비</t>
    <phoneticPr fontId="2" type="noConversion"/>
  </si>
  <si>
    <t>331 치매예방사업비</t>
    <phoneticPr fontId="2" type="noConversion"/>
  </si>
  <si>
    <t>ㅇ 치매예방사업비</t>
    <phoneticPr fontId="2" type="noConversion"/>
  </si>
  <si>
    <t>04 전출금</t>
    <phoneticPr fontId="2" type="noConversion"/>
  </si>
  <si>
    <t>41 전출금</t>
    <phoneticPr fontId="2" type="noConversion"/>
  </si>
  <si>
    <t>ㅇ 기타전출금</t>
    <phoneticPr fontId="2" type="noConversion"/>
  </si>
  <si>
    <t xml:space="preserve"> </t>
    <phoneticPr fontId="2" type="noConversion"/>
  </si>
  <si>
    <t>411 법인회계
    전출금</t>
    <phoneticPr fontId="2" type="noConversion"/>
  </si>
  <si>
    <t xml:space="preserve"> -법인회계전출금</t>
    <phoneticPr fontId="2" type="noConversion"/>
  </si>
  <si>
    <t xml:space="preserve"> </t>
    <phoneticPr fontId="2" type="noConversion"/>
  </si>
  <si>
    <t>412 기타전출금</t>
    <phoneticPr fontId="2" type="noConversion"/>
  </si>
  <si>
    <t xml:space="preserve"> - 기타전출금</t>
    <phoneticPr fontId="2" type="noConversion"/>
  </si>
  <si>
    <t>05 과년도 지출</t>
    <phoneticPr fontId="2" type="noConversion"/>
  </si>
  <si>
    <t>51 과년도 지출</t>
    <phoneticPr fontId="2" type="noConversion"/>
  </si>
  <si>
    <t xml:space="preserve"> </t>
    <phoneticPr fontId="2" type="noConversion"/>
  </si>
  <si>
    <t>511 과년도 지출</t>
    <phoneticPr fontId="2" type="noConversion"/>
  </si>
  <si>
    <t xml:space="preserve"> - 과년도지출</t>
    <phoneticPr fontId="2" type="noConversion"/>
  </si>
  <si>
    <t>원</t>
    <phoneticPr fontId="2" type="noConversion"/>
  </si>
  <si>
    <t>=</t>
    <phoneticPr fontId="2" type="noConversion"/>
  </si>
  <si>
    <t>06 상환금</t>
    <phoneticPr fontId="2" type="noConversion"/>
  </si>
  <si>
    <t>61 부채상환금</t>
    <phoneticPr fontId="2" type="noConversion"/>
  </si>
  <si>
    <t>611 원금상환금</t>
    <phoneticPr fontId="2" type="noConversion"/>
  </si>
  <si>
    <t>ㅇ 차입금 상환금</t>
    <phoneticPr fontId="2" type="noConversion"/>
  </si>
  <si>
    <t>612 이자지불금</t>
    <phoneticPr fontId="2" type="noConversion"/>
  </si>
  <si>
    <t>ㅇ 이자지금금</t>
    <phoneticPr fontId="2" type="noConversion"/>
  </si>
  <si>
    <t>71 잡지출</t>
    <phoneticPr fontId="2" type="noConversion"/>
  </si>
  <si>
    <t>711 잡지출</t>
    <phoneticPr fontId="2" type="noConversion"/>
  </si>
  <si>
    <t xml:space="preserve"> - 잡지출 </t>
    <phoneticPr fontId="2" type="noConversion"/>
  </si>
  <si>
    <t xml:space="preserve"> </t>
    <phoneticPr fontId="2" type="noConversion"/>
  </si>
  <si>
    <t>08 예비비 및 기타</t>
    <phoneticPr fontId="2" type="noConversion"/>
  </si>
  <si>
    <t>81 예비비</t>
    <phoneticPr fontId="2" type="noConversion"/>
  </si>
  <si>
    <t>811 예비비</t>
    <phoneticPr fontId="2" type="noConversion"/>
  </si>
  <si>
    <t xml:space="preserve"> - 예비비 </t>
    <phoneticPr fontId="2" type="noConversion"/>
  </si>
  <si>
    <t xml:space="preserve"> - 반환금</t>
    <phoneticPr fontId="2" type="noConversion"/>
  </si>
  <si>
    <t>원</t>
    <phoneticPr fontId="2" type="noConversion"/>
  </si>
  <si>
    <t xml:space="preserve"> </t>
    <phoneticPr fontId="2" type="noConversion"/>
  </si>
  <si>
    <t>=</t>
    <phoneticPr fontId="2" type="noConversion"/>
  </si>
  <si>
    <t>09 적립금 및 준비금</t>
    <phoneticPr fontId="2" type="noConversion"/>
  </si>
  <si>
    <t>91 운영충당적립금
및 환경개선준비금</t>
    <phoneticPr fontId="2" type="noConversion"/>
  </si>
  <si>
    <t>911 적립금</t>
    <phoneticPr fontId="2" type="noConversion"/>
  </si>
  <si>
    <t xml:space="preserve"> - 시설환경개선
     준비금</t>
    <phoneticPr fontId="2" type="noConversion"/>
  </si>
  <si>
    <t>회</t>
    <phoneticPr fontId="2" type="noConversion"/>
  </si>
  <si>
    <t>10 적립금 및 준비금
   (특별회계)</t>
    <phoneticPr fontId="2" type="noConversion"/>
  </si>
  <si>
    <t>ㅇ 운영충당
   적립금</t>
    <phoneticPr fontId="2" type="noConversion"/>
  </si>
  <si>
    <t xml:space="preserve"> - 운영충당
   적립금</t>
    <phoneticPr fontId="2" type="noConversion"/>
  </si>
  <si>
    <t>1012 시설환경
   개선준비금</t>
    <phoneticPr fontId="2" type="noConversion"/>
  </si>
  <si>
    <t xml:space="preserve"> - 시설환경
   개선준비금</t>
    <phoneticPr fontId="2" type="noConversion"/>
  </si>
  <si>
    <t>2019년도 추경예산 총괄표</t>
    <phoneticPr fontId="2" type="noConversion"/>
  </si>
  <si>
    <t xml:space="preserve"> - 보조원</t>
    <phoneticPr fontId="2" type="noConversion"/>
  </si>
  <si>
    <t xml:space="preserve"> - 요양보호사 
   평균</t>
    <phoneticPr fontId="2" type="noConversion"/>
  </si>
  <si>
    <t>기타전출금</t>
    <phoneticPr fontId="2" type="noConversion"/>
  </si>
  <si>
    <t xml:space="preserve"> - 사회복지사</t>
    <phoneticPr fontId="2" type="noConversion"/>
  </si>
  <si>
    <t xml:space="preserve"> - 기타</t>
    <phoneticPr fontId="2" type="noConversion"/>
  </si>
  <si>
    <t>요양보호사</t>
    <phoneticPr fontId="2" type="noConversion"/>
  </si>
  <si>
    <t>간호조무사</t>
    <phoneticPr fontId="2" type="noConversion"/>
  </si>
  <si>
    <t>조리사</t>
    <phoneticPr fontId="2" type="noConversion"/>
  </si>
  <si>
    <t>간접비</t>
    <phoneticPr fontId="2" type="noConversion"/>
  </si>
  <si>
    <t xml:space="preserve"> - CCTV</t>
    <phoneticPr fontId="2" type="noConversion"/>
  </si>
  <si>
    <t xml:space="preserve"> - 기타수용비</t>
    <phoneticPr fontId="2" type="noConversion"/>
  </si>
  <si>
    <t xml:space="preserve"> - 안전점검</t>
    <phoneticPr fontId="2" type="noConversion"/>
  </si>
  <si>
    <t xml:space="preserve"> - 음식물처리</t>
    <phoneticPr fontId="2" type="noConversion"/>
  </si>
  <si>
    <t xml:space="preserve"> - 페인트</t>
    <phoneticPr fontId="2" type="noConversion"/>
  </si>
  <si>
    <t xml:space="preserve"> - LED 전등</t>
    <phoneticPr fontId="2" type="noConversion"/>
  </si>
  <si>
    <t xml:space="preserve"> - TV 쇼파</t>
    <phoneticPr fontId="2" type="noConversion"/>
  </si>
  <si>
    <t>2020년</t>
    <phoneticPr fontId="2" type="noConversion"/>
  </si>
  <si>
    <t>2020년도 세입.세출 총괄표</t>
    <phoneticPr fontId="2" type="noConversion"/>
  </si>
  <si>
    <t>2020년도 세입예산서</t>
    <phoneticPr fontId="2" type="noConversion"/>
  </si>
  <si>
    <t>2020년도 세출예산서</t>
    <phoneticPr fontId="2" type="noConversion"/>
  </si>
  <si>
    <t xml:space="preserve"> - 1등급(9%)</t>
    <phoneticPr fontId="2" type="noConversion"/>
  </si>
  <si>
    <t xml:space="preserve"> - 2등급(9%)</t>
    <phoneticPr fontId="2" type="noConversion"/>
  </si>
  <si>
    <t xml:space="preserve"> - 3등급(9%)</t>
    <phoneticPr fontId="2" type="noConversion"/>
  </si>
  <si>
    <t xml:space="preserve"> - 4등급(9%)</t>
    <phoneticPr fontId="2" type="noConversion"/>
  </si>
  <si>
    <t xml:space="preserve"> - 5등급(9%)</t>
    <phoneticPr fontId="2" type="noConversion"/>
  </si>
  <si>
    <t xml:space="preserve"> - 1등급(91%)</t>
    <phoneticPr fontId="2" type="noConversion"/>
  </si>
  <si>
    <t xml:space="preserve"> - 1등급(94%)</t>
    <phoneticPr fontId="2" type="noConversion"/>
  </si>
  <si>
    <t xml:space="preserve"> - 2등급(94%)</t>
    <phoneticPr fontId="2" type="noConversion"/>
  </si>
  <si>
    <t xml:space="preserve"> - 3등급(94%)</t>
    <phoneticPr fontId="2" type="noConversion"/>
  </si>
  <si>
    <t xml:space="preserve"> - 4등급(94%)</t>
    <phoneticPr fontId="2" type="noConversion"/>
  </si>
  <si>
    <t xml:space="preserve"> - 5등급(94%)</t>
    <phoneticPr fontId="2" type="noConversion"/>
  </si>
  <si>
    <t xml:space="preserve"> - 2등급(91%)</t>
    <phoneticPr fontId="2" type="noConversion"/>
  </si>
  <si>
    <t xml:space="preserve"> - 3등급(91%)</t>
    <phoneticPr fontId="2" type="noConversion"/>
  </si>
  <si>
    <t xml:space="preserve"> - 4등급(91%)</t>
    <phoneticPr fontId="2" type="noConversion"/>
  </si>
  <si>
    <t xml:space="preserve"> - 5등급(91%)</t>
    <phoneticPr fontId="2" type="noConversion"/>
  </si>
  <si>
    <t xml:space="preserve"> - 인지지원
    (91%)</t>
    <phoneticPr fontId="2" type="noConversion"/>
  </si>
  <si>
    <t xml:space="preserve"> - 인지지원
    (94%)</t>
    <phoneticPr fontId="2" type="noConversion"/>
  </si>
  <si>
    <t xml:space="preserve"> - 기타잡수입
   (일자리)</t>
    <phoneticPr fontId="2" type="noConversion"/>
  </si>
  <si>
    <t xml:space="preserve"> - 강화문</t>
    <phoneticPr fontId="2" type="noConversion"/>
  </si>
  <si>
    <t xml:space="preserve"> - 기타</t>
    <phoneticPr fontId="2" type="noConversion"/>
  </si>
  <si>
    <t xml:space="preserve"> - 사회적응</t>
    <phoneticPr fontId="2" type="noConversion"/>
  </si>
  <si>
    <t xml:space="preserve"> - 인지지원
    (9%)</t>
    <phoneticPr fontId="2" type="noConversion"/>
  </si>
  <si>
    <t>회</t>
    <phoneticPr fontId="2" type="noConversion"/>
  </si>
  <si>
    <t>명</t>
    <phoneticPr fontId="2" type="noConversion"/>
  </si>
  <si>
    <t>x</t>
    <phoneticPr fontId="2" type="noConversion"/>
  </si>
  <si>
    <t>(금액단위: 원)</t>
    <phoneticPr fontId="2" type="noConversion"/>
  </si>
  <si>
    <t>(금액단위: 원)</t>
    <phoneticPr fontId="2" type="noConversion"/>
  </si>
  <si>
    <t xml:space="preserve"> - 차량할부</t>
    <phoneticPr fontId="2" type="noConversion"/>
  </si>
  <si>
    <t xml:space="preserve"> - 직원식비</t>
    <phoneticPr fontId="2" type="noConversion"/>
  </si>
  <si>
    <t>원</t>
    <phoneticPr fontId="2" type="noConversion"/>
  </si>
  <si>
    <t>x</t>
    <phoneticPr fontId="2" type="noConversion"/>
  </si>
  <si>
    <t>월</t>
    <phoneticPr fontId="2" type="noConversion"/>
  </si>
  <si>
    <t>인지활동프로그램</t>
    <phoneticPr fontId="2" type="noConversion"/>
  </si>
  <si>
    <t>신체활동프로그램</t>
    <phoneticPr fontId="2" type="noConversion"/>
  </si>
  <si>
    <t xml:space="preserve"> - 자동차세</t>
    <phoneticPr fontId="2" type="noConversion"/>
  </si>
  <si>
    <t>월</t>
    <phoneticPr fontId="2" type="noConversion"/>
  </si>
  <si>
    <t>회</t>
    <phoneticPr fontId="2" type="noConversion"/>
  </si>
  <si>
    <t>회</t>
    <phoneticPr fontId="2" type="noConversion"/>
  </si>
  <si>
    <t>회</t>
    <phoneticPr fontId="2" type="noConversion"/>
  </si>
  <si>
    <t>일</t>
    <phoneticPr fontId="2" type="noConversion"/>
  </si>
  <si>
    <t>명</t>
    <phoneticPr fontId="2" type="noConversion"/>
  </si>
  <si>
    <t xml:space="preserve"> - 생계비(이월금)</t>
    <phoneticPr fontId="2" type="noConversion"/>
  </si>
  <si>
    <t>2020년         예산액
(B)</t>
    <phoneticPr fontId="2" type="noConversion"/>
  </si>
  <si>
    <t>2020년        예산액
(B)</t>
    <phoneticPr fontId="2" type="noConversion"/>
  </si>
  <si>
    <t>YJ주야간보호센터</t>
    <phoneticPr fontId="2" type="noConversion"/>
  </si>
  <si>
    <t>2020년        예산액
(A)</t>
    <phoneticPr fontId="2" type="noConversion"/>
  </si>
  <si>
    <t>2020년         예산액
(A)</t>
    <phoneticPr fontId="2" type="noConversion"/>
  </si>
  <si>
    <t>명</t>
    <phoneticPr fontId="2" type="noConversion"/>
  </si>
  <si>
    <t xml:space="preserve"> - 기타전입금
    (대표자)</t>
    <phoneticPr fontId="2" type="noConversion"/>
  </si>
  <si>
    <t xml:space="preserve"> - 케어포</t>
    <phoneticPr fontId="2" type="noConversion"/>
  </si>
  <si>
    <t xml:space="preserve"> - 개인차입금</t>
    <phoneticPr fontId="2" type="noConversion"/>
  </si>
  <si>
    <t xml:space="preserve"> - 차입금 원금상환</t>
    <phoneticPr fontId="2" type="noConversion"/>
  </si>
  <si>
    <t xml:space="preserve"> - 개인차입금상환</t>
    <phoneticPr fontId="2" type="noConversion"/>
  </si>
  <si>
    <t>당해년도
예산액
(A)</t>
    <phoneticPr fontId="2" type="noConversion"/>
  </si>
  <si>
    <t>회</t>
    <phoneticPr fontId="2" type="noConversion"/>
  </si>
  <si>
    <t>요양보호사</t>
    <phoneticPr fontId="2" type="noConversion"/>
  </si>
  <si>
    <t xml:space="preserve"> - 센터장</t>
    <phoneticPr fontId="2" type="noConversion"/>
  </si>
  <si>
    <t>시설장</t>
    <phoneticPr fontId="2" type="noConversion"/>
  </si>
  <si>
    <t>본인+공단</t>
    <phoneticPr fontId="2" type="noConversion"/>
  </si>
  <si>
    <t xml:space="preserve"> - 차량소모품</t>
    <phoneticPr fontId="2" type="noConversion"/>
  </si>
  <si>
    <t>회</t>
    <phoneticPr fontId="2" type="noConversion"/>
  </si>
  <si>
    <t>직접비</t>
    <phoneticPr fontId="2" type="noConversion"/>
  </si>
  <si>
    <t>사회복지사</t>
    <phoneticPr fontId="2" type="noConversion"/>
  </si>
  <si>
    <t>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</si>
</sst>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#.00%\ "/>
    <numFmt numFmtId="178" formatCode="0.00%\ "/>
    <numFmt numFmtId="179" formatCode="#,##0,"/>
    <numFmt numFmtId="180" formatCode="0.0%"/>
    <numFmt numFmtId="181" formatCode="0.000%"/>
    <numFmt numFmtId="182" formatCode="#,##0_);[Red]\(#,##0\)"/>
  </numFmts>
  <fonts count="7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b/>
      <sz val="20"/>
      <name val="굴림"/>
      <family val="3"/>
      <charset val="129"/>
    </font>
    <font>
      <b/>
      <sz val="9"/>
      <color indexed="8"/>
      <name val="굴림체"/>
      <family val="3"/>
      <charset val="129"/>
    </font>
    <font>
      <sz val="10"/>
      <color indexed="10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36"/>
      <name val="궁서체"/>
      <family val="1"/>
      <charset val="129"/>
    </font>
    <font>
      <sz val="11"/>
      <name val="돋움체"/>
      <family val="3"/>
      <charset val="129"/>
    </font>
    <font>
      <sz val="11"/>
      <color indexed="8"/>
      <name val="맑은 고딕"/>
      <family val="3"/>
      <charset val="129"/>
    </font>
    <font>
      <b/>
      <sz val="32"/>
      <name val="맑은 고딕"/>
      <family val="3"/>
      <charset val="129"/>
    </font>
    <font>
      <b/>
      <sz val="28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b/>
      <sz val="24"/>
      <name val="맑은 고딕"/>
      <family val="3"/>
      <charset val="129"/>
    </font>
    <font>
      <sz val="9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10"/>
      <name val="돋움"/>
      <family val="3"/>
      <charset val="129"/>
    </font>
    <font>
      <b/>
      <sz val="8"/>
      <color indexed="8"/>
      <name val="굴림체"/>
      <family val="3"/>
      <charset val="129"/>
    </font>
    <font>
      <b/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굴림체"/>
      <family val="3"/>
      <charset val="129"/>
    </font>
    <font>
      <sz val="10"/>
      <color indexed="10"/>
      <name val="굴림체"/>
      <family val="3"/>
      <charset val="129"/>
    </font>
    <font>
      <sz val="9"/>
      <color indexed="10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b/>
      <sz val="10"/>
      <name val="굴림체"/>
      <family val="3"/>
      <charset val="129"/>
    </font>
    <font>
      <b/>
      <sz val="12"/>
      <name val="굴림체"/>
      <family val="3"/>
      <charset val="129"/>
    </font>
    <font>
      <b/>
      <u val="double"/>
      <sz val="12"/>
      <name val="굴림체"/>
      <family val="3"/>
      <charset val="129"/>
    </font>
    <font>
      <b/>
      <sz val="12"/>
      <name val="돋움"/>
      <family val="3"/>
      <charset val="129"/>
    </font>
    <font>
      <sz val="8"/>
      <color indexed="8"/>
      <name val="굴림체"/>
      <family val="3"/>
      <charset val="129"/>
    </font>
    <font>
      <b/>
      <u/>
      <sz val="12"/>
      <name val="굴림체"/>
      <family val="3"/>
      <charset val="129"/>
    </font>
    <font>
      <sz val="7.5"/>
      <name val="굴림체"/>
      <family val="3"/>
      <charset val="129"/>
    </font>
    <font>
      <sz val="9"/>
      <color indexed="10"/>
      <name val="돋움"/>
      <family val="3"/>
      <charset val="129"/>
    </font>
    <font>
      <sz val="8"/>
      <name val="맑은 고딕"/>
      <family val="3"/>
      <charset val="129"/>
    </font>
    <font>
      <sz val="7.5"/>
      <color indexed="8"/>
      <name val="굴림체"/>
      <family val="3"/>
      <charset val="129"/>
    </font>
    <font>
      <sz val="12"/>
      <color indexed="63"/>
      <name val="굴림"/>
      <family val="3"/>
      <charset val="129"/>
    </font>
    <font>
      <sz val="12"/>
      <name val="굴림"/>
      <family val="3"/>
      <charset val="129"/>
    </font>
    <font>
      <b/>
      <sz val="18"/>
      <name val="굴림"/>
      <family val="3"/>
      <charset val="129"/>
    </font>
    <font>
      <b/>
      <sz val="12"/>
      <color indexed="63"/>
      <name val="HY헤드라인M"/>
      <family val="1"/>
      <charset val="129"/>
    </font>
    <font>
      <b/>
      <sz val="12"/>
      <name val="HY헤드라인M"/>
      <family val="1"/>
      <charset val="129"/>
    </font>
    <font>
      <sz val="6.5"/>
      <name val="굴림체"/>
      <family val="3"/>
      <charset val="129"/>
    </font>
    <font>
      <sz val="22"/>
      <name val="HY헤드라인M"/>
      <family val="1"/>
      <charset val="129"/>
    </font>
    <font>
      <sz val="8.5"/>
      <name val="굴림체"/>
      <family val="3"/>
      <charset val="129"/>
    </font>
    <font>
      <sz val="8.5"/>
      <color indexed="8"/>
      <name val="굴림체"/>
      <family val="3"/>
      <charset val="129"/>
    </font>
    <font>
      <sz val="8.5"/>
      <name val="돋움"/>
      <family val="3"/>
      <charset val="129"/>
    </font>
    <font>
      <b/>
      <sz val="8"/>
      <name val="굴림체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color rgb="FFFF0000"/>
      <name val="돋움"/>
      <family val="3"/>
      <charset val="129"/>
    </font>
    <font>
      <sz val="9"/>
      <color rgb="FFFF0000"/>
      <name val="굴림체"/>
      <family val="3"/>
      <charset val="129"/>
    </font>
    <font>
      <sz val="10"/>
      <color theme="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2"/>
      <color rgb="FF4B4B4B"/>
      <name val="굴림"/>
      <family val="3"/>
      <charset val="129"/>
    </font>
    <font>
      <b/>
      <sz val="24"/>
      <name val="맑은 고딕"/>
      <family val="3"/>
      <charset val="129"/>
      <scheme val="minor"/>
    </font>
    <font>
      <sz val="11"/>
      <color theme="0"/>
      <name val="돋움"/>
      <family val="3"/>
      <charset val="129"/>
    </font>
    <font>
      <sz val="9"/>
      <color theme="1"/>
      <name val="굴림체"/>
      <family val="3"/>
      <charset val="129"/>
    </font>
    <font>
      <sz val="9"/>
      <color rgb="FF002060"/>
      <name val="굴림체"/>
      <family val="3"/>
      <charset val="129"/>
    </font>
    <font>
      <sz val="9"/>
      <color theme="1" tint="4.9989318521683403E-2"/>
      <name val="굴림체"/>
      <family val="3"/>
      <charset val="129"/>
    </font>
    <font>
      <sz val="7.5"/>
      <color rgb="FFFF0000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theme="1"/>
      <name val="굴림체"/>
      <family val="3"/>
      <charset val="129"/>
    </font>
    <font>
      <b/>
      <sz val="11"/>
      <color rgb="FF286892"/>
      <name val="굴림체"/>
      <family val="3"/>
      <charset val="129"/>
    </font>
    <font>
      <b/>
      <sz val="10"/>
      <color rgb="FF286892"/>
      <name val="굴림체"/>
      <family val="3"/>
      <charset val="129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rgb="FFFF0000"/>
      <name val="돋움"/>
      <family val="3"/>
      <charset val="129"/>
    </font>
    <font>
      <b/>
      <sz val="14"/>
      <color rgb="FF0070C0"/>
      <name val="맑은 고딕"/>
      <family val="3"/>
      <charset val="129"/>
    </font>
    <font>
      <b/>
      <sz val="16"/>
      <color rgb="FF0000FF"/>
      <name val="굴림"/>
      <family val="3"/>
      <charset val="129"/>
    </font>
    <font>
      <b/>
      <sz val="8"/>
      <color rgb="FFFF0000"/>
      <name val="굴림체"/>
      <family val="3"/>
      <charset val="129"/>
    </font>
    <font>
      <b/>
      <sz val="9"/>
      <color rgb="FFFF0000"/>
      <name val="굴림체"/>
      <family val="3"/>
      <charset val="129"/>
    </font>
    <font>
      <sz val="12"/>
      <name val="굴림체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</fills>
  <borders count="1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134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76" fontId="3" fillId="0" borderId="0" xfId="1" applyNumberFormat="1" applyFont="1" applyAlignment="1">
      <alignment vertical="center"/>
    </xf>
    <xf numFmtId="3" fontId="9" fillId="2" borderId="10" xfId="0" applyNumberFormat="1" applyFont="1" applyFill="1" applyBorder="1" applyAlignment="1">
      <alignment vertical="center"/>
    </xf>
    <xf numFmtId="3" fontId="9" fillId="2" borderId="11" xfId="0" applyNumberFormat="1" applyFont="1" applyFill="1" applyBorder="1" applyAlignment="1">
      <alignment vertical="center"/>
    </xf>
    <xf numFmtId="176" fontId="9" fillId="2" borderId="9" xfId="1" applyNumberFormat="1" applyFont="1" applyFill="1" applyBorder="1" applyAlignment="1">
      <alignment vertical="center"/>
    </xf>
    <xf numFmtId="0" fontId="12" fillId="2" borderId="8" xfId="0" applyFont="1" applyFill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9" fillId="2" borderId="8" xfId="0" applyFont="1" applyFill="1" applyBorder="1" applyAlignment="1">
      <alignment horizontal="right" vertical="center"/>
    </xf>
    <xf numFmtId="0" fontId="1" fillId="0" borderId="0" xfId="6" applyAlignment="1">
      <alignment vertical="center"/>
    </xf>
    <xf numFmtId="0" fontId="1" fillId="0" borderId="0" xfId="6" applyBorder="1" applyAlignment="1">
      <alignment vertical="center"/>
    </xf>
    <xf numFmtId="0" fontId="13" fillId="0" borderId="0" xfId="6" applyFont="1" applyBorder="1" applyAlignment="1">
      <alignment horizontal="center" vertical="center"/>
    </xf>
    <xf numFmtId="3" fontId="9" fillId="2" borderId="12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7">
      <alignment vertical="center"/>
    </xf>
    <xf numFmtId="0" fontId="14" fillId="0" borderId="0" xfId="7" applyFont="1">
      <alignment vertical="center"/>
    </xf>
    <xf numFmtId="179" fontId="4" fillId="0" borderId="13" xfId="0" applyNumberFormat="1" applyFont="1" applyBorder="1" applyAlignment="1">
      <alignment vertical="center"/>
    </xf>
    <xf numFmtId="179" fontId="5" fillId="0" borderId="1" xfId="0" applyNumberFormat="1" applyFont="1" applyBorder="1" applyAlignment="1">
      <alignment vertical="center"/>
    </xf>
    <xf numFmtId="179" fontId="5" fillId="0" borderId="2" xfId="0" applyNumberFormat="1" applyFont="1" applyBorder="1" applyAlignment="1">
      <alignment vertical="center"/>
    </xf>
    <xf numFmtId="179" fontId="9" fillId="0" borderId="1" xfId="0" applyNumberFormat="1" applyFont="1" applyBorder="1" applyAlignment="1">
      <alignment vertical="center"/>
    </xf>
    <xf numFmtId="179" fontId="5" fillId="0" borderId="13" xfId="0" applyNumberFormat="1" applyFont="1" applyBorder="1" applyAlignment="1">
      <alignment vertical="center"/>
    </xf>
    <xf numFmtId="179" fontId="5" fillId="0" borderId="4" xfId="0" applyNumberFormat="1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2" fillId="2" borderId="7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/>
    </xf>
    <xf numFmtId="3" fontId="9" fillId="2" borderId="15" xfId="0" applyNumberFormat="1" applyFont="1" applyFill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12" fillId="2" borderId="16" xfId="0" applyFont="1" applyFill="1" applyBorder="1" applyAlignment="1">
      <alignment horizontal="right" vertical="center"/>
    </xf>
    <xf numFmtId="0" fontId="9" fillId="2" borderId="16" xfId="0" applyFont="1" applyFill="1" applyBorder="1" applyAlignment="1">
      <alignment vertical="center"/>
    </xf>
    <xf numFmtId="0" fontId="5" fillId="0" borderId="1" xfId="0" applyFont="1" applyBorder="1" applyAlignment="1">
      <alignment vertical="center" shrinkToFit="1"/>
    </xf>
    <xf numFmtId="0" fontId="9" fillId="0" borderId="17" xfId="0" applyFont="1" applyBorder="1" applyAlignment="1">
      <alignment vertical="center" shrinkToFit="1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left" vertical="center"/>
    </xf>
    <xf numFmtId="0" fontId="9" fillId="2" borderId="16" xfId="0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vertical="center"/>
    </xf>
    <xf numFmtId="0" fontId="9" fillId="2" borderId="6" xfId="0" applyFont="1" applyFill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3" fontId="9" fillId="2" borderId="14" xfId="0" applyNumberFormat="1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176" fontId="9" fillId="4" borderId="5" xfId="1" applyNumberFormat="1" applyFont="1" applyFill="1" applyBorder="1" applyAlignment="1">
      <alignment horizontal="right" vertical="center"/>
    </xf>
    <xf numFmtId="176" fontId="9" fillId="4" borderId="7" xfId="1" applyNumberFormat="1" applyFont="1" applyFill="1" applyBorder="1" applyAlignment="1">
      <alignment horizontal="right" vertical="center"/>
    </xf>
    <xf numFmtId="176" fontId="9" fillId="4" borderId="7" xfId="1" applyNumberFormat="1" applyFont="1" applyFill="1" applyBorder="1" applyAlignment="1">
      <alignment vertical="center"/>
    </xf>
    <xf numFmtId="0" fontId="9" fillId="4" borderId="7" xfId="0" applyFont="1" applyFill="1" applyBorder="1" applyAlignment="1">
      <alignment horizontal="center" vertical="center"/>
    </xf>
    <xf numFmtId="179" fontId="4" fillId="0" borderId="4" xfId="0" applyNumberFormat="1" applyFont="1" applyBorder="1" applyAlignment="1">
      <alignment vertical="center"/>
    </xf>
    <xf numFmtId="0" fontId="9" fillId="0" borderId="14" xfId="0" applyFont="1" applyBorder="1" applyAlignment="1">
      <alignment vertical="center" shrinkToFit="1"/>
    </xf>
    <xf numFmtId="0" fontId="9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vertical="center"/>
    </xf>
    <xf numFmtId="179" fontId="7" fillId="0" borderId="13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9" fillId="0" borderId="21" xfId="0" applyFont="1" applyBorder="1" applyAlignment="1">
      <alignment horizontal="center" vertical="center"/>
    </xf>
    <xf numFmtId="0" fontId="19" fillId="0" borderId="0" xfId="7" applyFont="1">
      <alignment vertical="center"/>
    </xf>
    <xf numFmtId="0" fontId="9" fillId="2" borderId="7" xfId="0" applyFont="1" applyFill="1" applyBorder="1" applyAlignment="1">
      <alignment horizontal="right" vertical="center"/>
    </xf>
    <xf numFmtId="176" fontId="9" fillId="4" borderId="5" xfId="1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center" vertical="center"/>
    </xf>
    <xf numFmtId="176" fontId="9" fillId="2" borderId="21" xfId="1" applyNumberFormat="1" applyFont="1" applyFill="1" applyBorder="1" applyAlignment="1">
      <alignment vertical="center"/>
    </xf>
    <xf numFmtId="0" fontId="12" fillId="0" borderId="21" xfId="0" applyFont="1" applyBorder="1" applyAlignment="1">
      <alignment horizontal="right" vertical="center"/>
    </xf>
    <xf numFmtId="0" fontId="9" fillId="0" borderId="21" xfId="0" applyFont="1" applyBorder="1" applyAlignment="1">
      <alignment vertical="center"/>
    </xf>
    <xf numFmtId="0" fontId="5" fillId="0" borderId="4" xfId="0" applyFont="1" applyBorder="1" applyAlignment="1">
      <alignment horizontal="left" vertical="top"/>
    </xf>
    <xf numFmtId="176" fontId="9" fillId="0" borderId="5" xfId="0" applyNumberFormat="1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182" fontId="9" fillId="0" borderId="5" xfId="0" applyNumberFormat="1" applyFont="1" applyBorder="1" applyAlignment="1">
      <alignment horizontal="left" vertical="center"/>
    </xf>
    <xf numFmtId="182" fontId="9" fillId="2" borderId="11" xfId="0" applyNumberFormat="1" applyFont="1" applyFill="1" applyBorder="1" applyAlignment="1">
      <alignment vertical="center"/>
    </xf>
    <xf numFmtId="182" fontId="9" fillId="2" borderId="15" xfId="0" applyNumberFormat="1" applyFont="1" applyFill="1" applyBorder="1" applyAlignment="1">
      <alignment vertical="center"/>
    </xf>
    <xf numFmtId="182" fontId="3" fillId="0" borderId="0" xfId="0" applyNumberFormat="1" applyFont="1" applyAlignment="1">
      <alignment vertical="center"/>
    </xf>
    <xf numFmtId="182" fontId="0" fillId="0" borderId="0" xfId="0" applyNumberFormat="1" applyAlignment="1">
      <alignment vertical="center"/>
    </xf>
    <xf numFmtId="179" fontId="4" fillId="0" borderId="24" xfId="0" applyNumberFormat="1" applyFont="1" applyBorder="1" applyAlignment="1">
      <alignment vertical="center"/>
    </xf>
    <xf numFmtId="179" fontId="5" fillId="0" borderId="14" xfId="0" applyNumberFormat="1" applyFont="1" applyBorder="1" applyAlignment="1">
      <alignment vertical="center"/>
    </xf>
    <xf numFmtId="179" fontId="5" fillId="0" borderId="17" xfId="0" applyNumberFormat="1" applyFont="1" applyBorder="1" applyAlignment="1">
      <alignment horizontal="right" vertical="top"/>
    </xf>
    <xf numFmtId="179" fontId="5" fillId="0" borderId="24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horizontal="left" vertical="center"/>
    </xf>
    <xf numFmtId="49" fontId="9" fillId="0" borderId="19" xfId="0" applyNumberFormat="1" applyFont="1" applyBorder="1" applyAlignment="1">
      <alignment horizontal="left" vertical="center" wrapText="1"/>
    </xf>
    <xf numFmtId="49" fontId="9" fillId="0" borderId="25" xfId="0" applyNumberFormat="1" applyFont="1" applyBorder="1" applyAlignment="1">
      <alignment horizontal="left" vertical="center"/>
    </xf>
    <xf numFmtId="49" fontId="9" fillId="0" borderId="26" xfId="0" applyNumberFormat="1" applyFont="1" applyBorder="1" applyAlignment="1">
      <alignment horizontal="left" vertical="center"/>
    </xf>
    <xf numFmtId="49" fontId="9" fillId="0" borderId="27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8" xfId="0" applyNumberFormat="1" applyFont="1" applyBorder="1" applyAlignment="1">
      <alignment horizontal="left" vertical="center"/>
    </xf>
    <xf numFmtId="49" fontId="9" fillId="0" borderId="25" xfId="0" applyNumberFormat="1" applyFont="1" applyBorder="1" applyAlignment="1">
      <alignment horizontal="left" vertical="center" wrapText="1"/>
    </xf>
    <xf numFmtId="49" fontId="9" fillId="0" borderId="26" xfId="0" applyNumberFormat="1" applyFont="1" applyBorder="1" applyAlignment="1">
      <alignment horizontal="left" vertical="center" wrapText="1"/>
    </xf>
    <xf numFmtId="49" fontId="9" fillId="0" borderId="24" xfId="0" applyNumberFormat="1" applyFont="1" applyBorder="1" applyAlignment="1">
      <alignment horizontal="left" vertical="center"/>
    </xf>
    <xf numFmtId="49" fontId="9" fillId="0" borderId="17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79" fontId="4" fillId="0" borderId="6" xfId="0" applyNumberFormat="1" applyFont="1" applyBorder="1" applyAlignment="1">
      <alignment vertical="center"/>
    </xf>
    <xf numFmtId="179" fontId="4" fillId="0" borderId="24" xfId="0" applyNumberFormat="1" applyFont="1" applyBorder="1" applyAlignment="1">
      <alignment horizontal="right" vertical="center"/>
    </xf>
    <xf numFmtId="179" fontId="4" fillId="0" borderId="1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23" fillId="0" borderId="0" xfId="0" applyFont="1" applyAlignment="1">
      <alignment vertical="center"/>
    </xf>
    <xf numFmtId="176" fontId="9" fillId="0" borderId="6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176" fontId="5" fillId="0" borderId="17" xfId="1" applyNumberFormat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176" fontId="5" fillId="0" borderId="24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176" fontId="9" fillId="0" borderId="24" xfId="0" applyNumberFormat="1" applyFont="1" applyBorder="1" applyAlignment="1">
      <alignment vertical="center"/>
    </xf>
    <xf numFmtId="176" fontId="9" fillId="0" borderId="24" xfId="1" applyNumberFormat="1" applyFont="1" applyBorder="1" applyAlignment="1">
      <alignment vertical="center"/>
    </xf>
    <xf numFmtId="176" fontId="9" fillId="0" borderId="6" xfId="1" applyNumberFormat="1" applyFont="1" applyBorder="1" applyAlignment="1">
      <alignment vertical="center"/>
    </xf>
    <xf numFmtId="0" fontId="0" fillId="0" borderId="0" xfId="0" applyAlignment="1">
      <alignment horizontal="center"/>
    </xf>
    <xf numFmtId="182" fontId="3" fillId="0" borderId="0" xfId="0" applyNumberFormat="1" applyFont="1" applyAlignment="1">
      <alignment horizontal="right" vertical="center"/>
    </xf>
    <xf numFmtId="179" fontId="5" fillId="0" borderId="24" xfId="0" applyNumberFormat="1" applyFont="1" applyBorder="1" applyAlignment="1">
      <alignment horizontal="right" vertical="center"/>
    </xf>
    <xf numFmtId="176" fontId="54" fillId="0" borderId="0" xfId="1" applyNumberFormat="1" applyFont="1" applyBorder="1" applyAlignment="1"/>
    <xf numFmtId="0" fontId="9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3" fontId="9" fillId="2" borderId="5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horizontal="right" vertical="center"/>
    </xf>
    <xf numFmtId="49" fontId="9" fillId="0" borderId="19" xfId="0" applyNumberFormat="1" applyFont="1" applyBorder="1" applyAlignment="1">
      <alignment horizontal="left" vertical="center"/>
    </xf>
    <xf numFmtId="49" fontId="5" fillId="0" borderId="25" xfId="0" applyNumberFormat="1" applyFont="1" applyBorder="1" applyAlignment="1">
      <alignment horizontal="left" vertical="top"/>
    </xf>
    <xf numFmtId="3" fontId="9" fillId="2" borderId="7" xfId="0" applyNumberFormat="1" applyFont="1" applyFill="1" applyBorder="1" applyAlignment="1">
      <alignment vertical="center"/>
    </xf>
    <xf numFmtId="3" fontId="9" fillId="4" borderId="7" xfId="0" applyNumberFormat="1" applyFont="1" applyFill="1" applyBorder="1" applyAlignment="1">
      <alignment vertical="center"/>
    </xf>
    <xf numFmtId="0" fontId="9" fillId="4" borderId="7" xfId="0" applyFont="1" applyFill="1" applyBorder="1" applyAlignment="1">
      <alignment horizontal="right" vertical="center"/>
    </xf>
    <xf numFmtId="176" fontId="9" fillId="2" borderId="18" xfId="1" applyNumberFormat="1" applyFont="1" applyFill="1" applyBorder="1" applyAlignment="1">
      <alignment horizontal="right" vertical="center"/>
    </xf>
    <xf numFmtId="49" fontId="9" fillId="0" borderId="28" xfId="0" applyNumberFormat="1" applyFont="1" applyBorder="1" applyAlignment="1">
      <alignment horizontal="left" vertical="center"/>
    </xf>
    <xf numFmtId="176" fontId="9" fillId="0" borderId="29" xfId="0" applyNumberFormat="1" applyFont="1" applyBorder="1" applyAlignment="1">
      <alignment horizontal="center" vertical="center"/>
    </xf>
    <xf numFmtId="3" fontId="9" fillId="2" borderId="18" xfId="0" applyNumberFormat="1" applyFont="1" applyFill="1" applyBorder="1" applyAlignment="1">
      <alignment vertical="center"/>
    </xf>
    <xf numFmtId="176" fontId="9" fillId="0" borderId="9" xfId="0" applyNumberFormat="1" applyFont="1" applyBorder="1" applyAlignment="1">
      <alignment horizontal="center" vertical="center"/>
    </xf>
    <xf numFmtId="176" fontId="9" fillId="4" borderId="29" xfId="1" applyNumberFormat="1" applyFont="1" applyFill="1" applyBorder="1" applyAlignment="1">
      <alignment horizontal="right" vertical="center"/>
    </xf>
    <xf numFmtId="176" fontId="9" fillId="2" borderId="0" xfId="1" applyNumberFormat="1" applyFont="1" applyFill="1" applyBorder="1" applyAlignment="1">
      <alignment vertical="center"/>
    </xf>
    <xf numFmtId="176" fontId="9" fillId="4" borderId="16" xfId="1" applyNumberFormat="1" applyFont="1" applyFill="1" applyBorder="1" applyAlignment="1">
      <alignment vertical="center"/>
    </xf>
    <xf numFmtId="0" fontId="9" fillId="4" borderId="16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right" vertical="center"/>
    </xf>
    <xf numFmtId="0" fontId="9" fillId="0" borderId="1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182" fontId="5" fillId="2" borderId="29" xfId="0" applyNumberFormat="1" applyFont="1" applyFill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2" borderId="29" xfId="0" applyFont="1" applyFill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182" fontId="5" fillId="0" borderId="7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2" fontId="5" fillId="2" borderId="8" xfId="0" applyNumberFormat="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77" fontId="26" fillId="3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182" fontId="5" fillId="0" borderId="8" xfId="0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0" fontId="4" fillId="0" borderId="2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177" fontId="26" fillId="3" borderId="9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9" fontId="5" fillId="0" borderId="17" xfId="0" applyNumberFormat="1" applyFont="1" applyBorder="1" applyAlignment="1">
      <alignment vertical="center"/>
    </xf>
    <xf numFmtId="179" fontId="5" fillId="0" borderId="5" xfId="0" applyNumberFormat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182" fontId="5" fillId="2" borderId="16" xfId="0" applyNumberFormat="1" applyFont="1" applyFill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182" fontId="5" fillId="2" borderId="9" xfId="0" applyNumberFormat="1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2" fillId="0" borderId="17" xfId="0" applyFont="1" applyBorder="1" applyAlignment="1">
      <alignment vertical="center" shrinkToFit="1"/>
    </xf>
    <xf numFmtId="179" fontId="12" fillId="0" borderId="1" xfId="0" applyNumberFormat="1" applyFont="1" applyBorder="1" applyAlignment="1">
      <alignment horizontal="right" vertical="center"/>
    </xf>
    <xf numFmtId="179" fontId="12" fillId="0" borderId="17" xfId="0" applyNumberFormat="1" applyFont="1" applyBorder="1" applyAlignment="1">
      <alignment horizontal="right" vertical="center"/>
    </xf>
    <xf numFmtId="0" fontId="12" fillId="0" borderId="14" xfId="0" applyFont="1" applyBorder="1" applyAlignment="1">
      <alignment vertical="center"/>
    </xf>
    <xf numFmtId="179" fontId="12" fillId="0" borderId="2" xfId="0" applyNumberFormat="1" applyFont="1" applyBorder="1" applyAlignment="1">
      <alignment horizontal="right" vertical="center"/>
    </xf>
    <xf numFmtId="0" fontId="5" fillId="0" borderId="3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27" fillId="0" borderId="26" xfId="0" applyFont="1" applyBorder="1" applyAlignment="1">
      <alignment vertical="center"/>
    </xf>
    <xf numFmtId="182" fontId="5" fillId="0" borderId="10" xfId="0" applyNumberFormat="1" applyFont="1" applyBorder="1" applyAlignment="1">
      <alignment vertical="center"/>
    </xf>
    <xf numFmtId="182" fontId="5" fillId="2" borderId="11" xfId="0" applyNumberFormat="1" applyFont="1" applyFill="1" applyBorder="1" applyAlignment="1">
      <alignment vertical="center"/>
    </xf>
    <xf numFmtId="182" fontId="5" fillId="2" borderId="12" xfId="0" applyNumberFormat="1" applyFont="1" applyFill="1" applyBorder="1" applyAlignment="1">
      <alignment vertical="center"/>
    </xf>
    <xf numFmtId="0" fontId="9" fillId="0" borderId="13" xfId="0" applyFont="1" applyBorder="1" applyAlignment="1">
      <alignment vertical="center"/>
    </xf>
    <xf numFmtId="182" fontId="9" fillId="0" borderId="2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182" fontId="9" fillId="0" borderId="7" xfId="0" applyNumberFormat="1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179" fontId="9" fillId="0" borderId="2" xfId="0" applyNumberFormat="1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182" fontId="9" fillId="2" borderId="8" xfId="0" applyNumberFormat="1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182" fontId="5" fillId="3" borderId="7" xfId="0" applyNumberFormat="1" applyFont="1" applyFill="1" applyBorder="1" applyAlignment="1">
      <alignment vertical="center"/>
    </xf>
    <xf numFmtId="179" fontId="5" fillId="0" borderId="31" xfId="0" applyNumberFormat="1" applyFont="1" applyBorder="1" applyAlignment="1">
      <alignment vertical="center"/>
    </xf>
    <xf numFmtId="182" fontId="5" fillId="0" borderId="6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9" fontId="4" fillId="0" borderId="2" xfId="0" applyNumberFormat="1" applyFont="1" applyBorder="1" applyAlignment="1">
      <alignment vertical="center"/>
    </xf>
    <xf numFmtId="179" fontId="4" fillId="0" borderId="14" xfId="0" applyNumberFormat="1" applyFont="1" applyBorder="1" applyAlignment="1">
      <alignment vertical="center"/>
    </xf>
    <xf numFmtId="182" fontId="5" fillId="4" borderId="6" xfId="1" applyNumberFormat="1" applyFont="1" applyFill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9" fontId="5" fillId="0" borderId="3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182" fontId="5" fillId="2" borderId="35" xfId="0" applyNumberFormat="1" applyFont="1" applyFill="1" applyBorder="1" applyAlignment="1">
      <alignment vertical="center"/>
    </xf>
    <xf numFmtId="0" fontId="5" fillId="0" borderId="3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31" fillId="0" borderId="0" xfId="7" applyFont="1">
      <alignment vertical="center"/>
    </xf>
    <xf numFmtId="0" fontId="30" fillId="0" borderId="0" xfId="7" applyFont="1" applyBorder="1" applyAlignment="1">
      <alignment vertical="center"/>
    </xf>
    <xf numFmtId="0" fontId="32" fillId="0" borderId="0" xfId="7" applyFont="1" applyBorder="1" applyAlignment="1">
      <alignment vertical="center" wrapText="1"/>
    </xf>
    <xf numFmtId="0" fontId="32" fillId="0" borderId="0" xfId="7" applyFont="1" applyBorder="1" applyAlignment="1">
      <alignment vertical="center"/>
    </xf>
    <xf numFmtId="41" fontId="30" fillId="0" borderId="0" xfId="1" applyFont="1" applyBorder="1" applyAlignment="1">
      <alignment vertical="center"/>
    </xf>
    <xf numFmtId="0" fontId="31" fillId="0" borderId="0" xfId="7" applyFont="1" applyAlignment="1">
      <alignment vertical="center"/>
    </xf>
    <xf numFmtId="0" fontId="30" fillId="0" borderId="0" xfId="7" applyFont="1" applyAlignment="1">
      <alignment vertical="top"/>
    </xf>
    <xf numFmtId="0" fontId="31" fillId="0" borderId="0" xfId="7" applyFont="1" applyAlignment="1">
      <alignment vertical="top"/>
    </xf>
    <xf numFmtId="0" fontId="3" fillId="0" borderId="0" xfId="6" applyFont="1" applyAlignment="1">
      <alignment vertical="center"/>
    </xf>
    <xf numFmtId="0" fontId="30" fillId="0" borderId="0" xfId="7" applyFont="1" applyBorder="1" applyAlignment="1">
      <alignment horizontal="left" vertical="center"/>
    </xf>
    <xf numFmtId="0" fontId="30" fillId="0" borderId="42" xfId="7" applyFont="1" applyBorder="1" applyAlignment="1">
      <alignment horizontal="right" vertical="center"/>
    </xf>
    <xf numFmtId="0" fontId="30" fillId="0" borderId="0" xfId="7" applyFont="1" applyBorder="1" applyAlignment="1">
      <alignment vertical="top"/>
    </xf>
    <xf numFmtId="0" fontId="31" fillId="0" borderId="43" xfId="7" applyFont="1" applyBorder="1" applyAlignment="1">
      <alignment vertical="top"/>
    </xf>
    <xf numFmtId="0" fontId="30" fillId="0" borderId="42" xfId="7" applyFont="1" applyBorder="1" applyAlignment="1">
      <alignment vertical="center"/>
    </xf>
    <xf numFmtId="0" fontId="31" fillId="0" borderId="43" xfId="7" applyFont="1" applyBorder="1">
      <alignment vertical="center"/>
    </xf>
    <xf numFmtId="0" fontId="30" fillId="0" borderId="42" xfId="7" applyFont="1" applyBorder="1" applyAlignment="1">
      <alignment vertical="center" wrapText="1"/>
    </xf>
    <xf numFmtId="0" fontId="30" fillId="0" borderId="42" xfId="7" applyFont="1" applyBorder="1" applyAlignment="1">
      <alignment horizontal="left" vertical="center"/>
    </xf>
    <xf numFmtId="176" fontId="30" fillId="0" borderId="0" xfId="1" applyNumberFormat="1" applyFont="1" applyBorder="1" applyAlignment="1">
      <alignment vertical="center"/>
    </xf>
    <xf numFmtId="0" fontId="31" fillId="0" borderId="0" xfId="7" applyFont="1" applyBorder="1" applyAlignment="1">
      <alignment vertical="center"/>
    </xf>
    <xf numFmtId="0" fontId="31" fillId="0" borderId="43" xfId="7" applyFont="1" applyBorder="1" applyAlignment="1">
      <alignment vertical="center"/>
    </xf>
    <xf numFmtId="0" fontId="31" fillId="0" borderId="44" xfId="7" applyFont="1" applyBorder="1">
      <alignment vertical="center"/>
    </xf>
    <xf numFmtId="0" fontId="31" fillId="0" borderId="45" xfId="7" applyFont="1" applyBorder="1">
      <alignment vertical="center"/>
    </xf>
    <xf numFmtId="0" fontId="31" fillId="0" borderId="46" xfId="7" applyFont="1" applyBorder="1">
      <alignment vertical="center"/>
    </xf>
    <xf numFmtId="0" fontId="30" fillId="0" borderId="42" xfId="7" applyFont="1" applyBorder="1" applyAlignment="1">
      <alignment vertical="top"/>
    </xf>
    <xf numFmtId="0" fontId="30" fillId="0" borderId="43" xfId="7" applyFont="1" applyBorder="1" applyAlignment="1">
      <alignment vertical="top"/>
    </xf>
    <xf numFmtId="179" fontId="5" fillId="0" borderId="6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79" fontId="5" fillId="0" borderId="1" xfId="0" applyNumberFormat="1" applyFont="1" applyBorder="1" applyAlignment="1">
      <alignment horizontal="right" vertical="top"/>
    </xf>
    <xf numFmtId="0" fontId="9" fillId="0" borderId="29" xfId="0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left" vertical="center" wrapText="1"/>
    </xf>
    <xf numFmtId="3" fontId="9" fillId="2" borderId="24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top"/>
    </xf>
    <xf numFmtId="179" fontId="5" fillId="0" borderId="1" xfId="0" applyNumberFormat="1" applyFont="1" applyBorder="1" applyAlignment="1">
      <alignment vertical="top"/>
    </xf>
    <xf numFmtId="0" fontId="5" fillId="0" borderId="2" xfId="0" applyFont="1" applyBorder="1" applyAlignment="1">
      <alignment vertical="top"/>
    </xf>
    <xf numFmtId="179" fontId="5" fillId="0" borderId="2" xfId="0" applyNumberFormat="1" applyFont="1" applyBorder="1" applyAlignment="1">
      <alignment vertical="top"/>
    </xf>
    <xf numFmtId="0" fontId="5" fillId="0" borderId="21" xfId="0" applyFont="1" applyBorder="1" applyAlignment="1">
      <alignment vertical="center"/>
    </xf>
    <xf numFmtId="0" fontId="10" fillId="5" borderId="41" xfId="0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left" vertical="center" wrapText="1"/>
    </xf>
    <xf numFmtId="0" fontId="5" fillId="0" borderId="19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23" fillId="6" borderId="13" xfId="0" applyFont="1" applyFill="1" applyBorder="1" applyAlignment="1">
      <alignment horizontal="center" vertical="center"/>
    </xf>
    <xf numFmtId="0" fontId="23" fillId="7" borderId="13" xfId="0" applyFont="1" applyFill="1" applyBorder="1" applyAlignment="1">
      <alignment horizontal="center" vertical="center"/>
    </xf>
    <xf numFmtId="41" fontId="3" fillId="0" borderId="0" xfId="0" applyNumberFormat="1" applyFont="1" applyAlignment="1">
      <alignment vertical="center"/>
    </xf>
    <xf numFmtId="41" fontId="3" fillId="0" borderId="0" xfId="1" applyFont="1" applyAlignment="1">
      <alignment vertical="center"/>
    </xf>
    <xf numFmtId="0" fontId="3" fillId="0" borderId="13" xfId="0" applyFont="1" applyBorder="1" applyAlignment="1">
      <alignment vertical="center"/>
    </xf>
    <xf numFmtId="41" fontId="3" fillId="0" borderId="13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176" fontId="8" fillId="0" borderId="13" xfId="0" applyNumberFormat="1" applyFont="1" applyBorder="1" applyAlignment="1">
      <alignment vertical="center"/>
    </xf>
    <xf numFmtId="41" fontId="3" fillId="0" borderId="13" xfId="1" applyFont="1" applyBorder="1" applyAlignment="1">
      <alignment vertical="center"/>
    </xf>
    <xf numFmtId="176" fontId="55" fillId="0" borderId="13" xfId="0" applyNumberFormat="1" applyFont="1" applyBorder="1" applyAlignment="1">
      <alignment vertical="center"/>
    </xf>
    <xf numFmtId="41" fontId="8" fillId="0" borderId="13" xfId="1" applyFont="1" applyBorder="1" applyAlignment="1">
      <alignment vertical="center"/>
    </xf>
    <xf numFmtId="41" fontId="0" fillId="0" borderId="13" xfId="0" applyNumberFormat="1" applyBorder="1" applyAlignment="1">
      <alignment vertical="center"/>
    </xf>
    <xf numFmtId="0" fontId="25" fillId="0" borderId="47" xfId="0" applyFont="1" applyBorder="1" applyAlignment="1">
      <alignment horizontal="center" vertical="center"/>
    </xf>
    <xf numFmtId="41" fontId="0" fillId="0" borderId="48" xfId="0" applyNumberFormat="1" applyBorder="1" applyAlignment="1">
      <alignment vertical="center"/>
    </xf>
    <xf numFmtId="0" fontId="25" fillId="0" borderId="49" xfId="0" applyFont="1" applyBorder="1" applyAlignment="1">
      <alignment horizontal="center" vertical="center"/>
    </xf>
    <xf numFmtId="9" fontId="0" fillId="0" borderId="17" xfId="0" applyNumberFormat="1" applyBorder="1" applyAlignment="1">
      <alignment vertical="center"/>
    </xf>
    <xf numFmtId="9" fontId="0" fillId="0" borderId="49" xfId="0" applyNumberFormat="1" applyBorder="1" applyAlignment="1">
      <alignment vertical="center"/>
    </xf>
    <xf numFmtId="0" fontId="25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0" xfId="0" applyBorder="1" applyAlignment="1">
      <alignment vertical="center"/>
    </xf>
    <xf numFmtId="41" fontId="0" fillId="0" borderId="23" xfId="0" applyNumberFormat="1" applyBorder="1" applyAlignment="1">
      <alignment vertical="center"/>
    </xf>
    <xf numFmtId="0" fontId="0" fillId="0" borderId="5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3" fillId="8" borderId="22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center" vertical="center"/>
    </xf>
    <xf numFmtId="0" fontId="23" fillId="8" borderId="4" xfId="0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3" fillId="7" borderId="55" xfId="0" applyFont="1" applyFill="1" applyBorder="1" applyAlignment="1">
      <alignment horizontal="center" vertical="center"/>
    </xf>
    <xf numFmtId="41" fontId="0" fillId="0" borderId="56" xfId="0" applyNumberFormat="1" applyBorder="1" applyAlignment="1">
      <alignment vertical="center"/>
    </xf>
    <xf numFmtId="0" fontId="27" fillId="0" borderId="1" xfId="0" applyFont="1" applyBorder="1" applyAlignment="1">
      <alignment vertical="center" wrapText="1" shrinkToFit="1"/>
    </xf>
    <xf numFmtId="0" fontId="27" fillId="0" borderId="26" xfId="0" applyFont="1" applyBorder="1" applyAlignment="1">
      <alignment vertical="center" wrapText="1"/>
    </xf>
    <xf numFmtId="179" fontId="34" fillId="0" borderId="0" xfId="7" applyNumberFormat="1" applyFont="1" applyBorder="1" applyAlignment="1">
      <alignment vertical="center"/>
    </xf>
    <xf numFmtId="182" fontId="9" fillId="2" borderId="16" xfId="0" applyNumberFormat="1" applyFont="1" applyFill="1" applyBorder="1" applyAlignment="1">
      <alignment vertical="center"/>
    </xf>
    <xf numFmtId="0" fontId="33" fillId="0" borderId="59" xfId="0" applyFont="1" applyBorder="1" applyAlignment="1"/>
    <xf numFmtId="49" fontId="5" fillId="0" borderId="25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179" fontId="12" fillId="0" borderId="2" xfId="0" applyNumberFormat="1" applyFont="1" applyBorder="1" applyAlignment="1">
      <alignment vertical="center"/>
    </xf>
    <xf numFmtId="0" fontId="39" fillId="0" borderId="13" xfId="0" applyFont="1" applyBorder="1" applyAlignment="1">
      <alignment vertical="center"/>
    </xf>
    <xf numFmtId="176" fontId="39" fillId="0" borderId="13" xfId="0" applyNumberFormat="1" applyFont="1" applyBorder="1" applyAlignment="1">
      <alignment vertical="center"/>
    </xf>
    <xf numFmtId="0" fontId="39" fillId="0" borderId="0" xfId="0" applyFont="1" applyAlignment="1">
      <alignment vertical="center"/>
    </xf>
    <xf numFmtId="41" fontId="9" fillId="2" borderId="8" xfId="1" applyFont="1" applyFill="1" applyBorder="1" applyAlignment="1">
      <alignment vertical="center"/>
    </xf>
    <xf numFmtId="41" fontId="9" fillId="2" borderId="8" xfId="1" applyFont="1" applyFill="1" applyBorder="1" applyAlignment="1">
      <alignment horizontal="right" vertical="center"/>
    </xf>
    <xf numFmtId="0" fontId="56" fillId="2" borderId="8" xfId="0" applyFont="1" applyFill="1" applyBorder="1" applyAlignment="1">
      <alignment horizontal="right" vertical="center"/>
    </xf>
    <xf numFmtId="0" fontId="56" fillId="2" borderId="16" xfId="0" applyFont="1" applyFill="1" applyBorder="1" applyAlignment="1">
      <alignment horizontal="right" vertical="center"/>
    </xf>
    <xf numFmtId="176" fontId="57" fillId="0" borderId="13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179" fontId="4" fillId="0" borderId="57" xfId="0" applyNumberFormat="1" applyFont="1" applyBorder="1" applyAlignment="1">
      <alignment vertical="center"/>
    </xf>
    <xf numFmtId="179" fontId="4" fillId="0" borderId="36" xfId="0" applyNumberFormat="1" applyFont="1" applyBorder="1" applyAlignment="1">
      <alignment vertical="center"/>
    </xf>
    <xf numFmtId="0" fontId="5" fillId="0" borderId="60" xfId="0" applyFont="1" applyBorder="1" applyAlignment="1">
      <alignment horizontal="left" vertical="center"/>
    </xf>
    <xf numFmtId="0" fontId="5" fillId="0" borderId="61" xfId="0" applyFont="1" applyBorder="1" applyAlignment="1">
      <alignment vertical="center"/>
    </xf>
    <xf numFmtId="176" fontId="27" fillId="8" borderId="62" xfId="0" applyNumberFormat="1" applyFont="1" applyFill="1" applyBorder="1" applyAlignment="1">
      <alignment horizontal="right" vertical="center"/>
    </xf>
    <xf numFmtId="176" fontId="5" fillId="0" borderId="63" xfId="0" applyNumberFormat="1" applyFont="1" applyBorder="1" applyAlignment="1">
      <alignment vertical="center"/>
    </xf>
    <xf numFmtId="176" fontId="5" fillId="0" borderId="64" xfId="0" applyNumberFormat="1" applyFont="1" applyBorder="1" applyAlignment="1">
      <alignment vertical="center"/>
    </xf>
    <xf numFmtId="176" fontId="27" fillId="0" borderId="64" xfId="0" applyNumberFormat="1" applyFont="1" applyBorder="1" applyAlignment="1">
      <alignment vertical="center"/>
    </xf>
    <xf numFmtId="176" fontId="5" fillId="8" borderId="63" xfId="0" applyNumberFormat="1" applyFont="1" applyFill="1" applyBorder="1" applyAlignment="1">
      <alignment vertical="center"/>
    </xf>
    <xf numFmtId="176" fontId="5" fillId="0" borderId="65" xfId="0" applyNumberFormat="1" applyFont="1" applyBorder="1" applyAlignment="1">
      <alignment vertical="center"/>
    </xf>
    <xf numFmtId="176" fontId="5" fillId="0" borderId="66" xfId="0" applyNumberFormat="1" applyFont="1" applyBorder="1" applyAlignment="1">
      <alignment vertical="center"/>
    </xf>
    <xf numFmtId="0" fontId="5" fillId="0" borderId="61" xfId="0" applyFont="1" applyBorder="1" applyAlignment="1">
      <alignment horizontal="left" vertical="center"/>
    </xf>
    <xf numFmtId="176" fontId="5" fillId="0" borderId="67" xfId="0" applyNumberFormat="1" applyFont="1" applyBorder="1" applyAlignment="1">
      <alignment vertical="center"/>
    </xf>
    <xf numFmtId="0" fontId="5" fillId="0" borderId="60" xfId="0" applyFont="1" applyBorder="1" applyAlignment="1">
      <alignment vertical="center"/>
    </xf>
    <xf numFmtId="176" fontId="5" fillId="8" borderId="63" xfId="0" applyNumberFormat="1" applyFont="1" applyFill="1" applyBorder="1" applyAlignment="1">
      <alignment horizontal="right" vertical="center"/>
    </xf>
    <xf numFmtId="0" fontId="5" fillId="0" borderId="42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9" fontId="5" fillId="0" borderId="31" xfId="0" applyNumberFormat="1" applyFont="1" applyBorder="1" applyAlignment="1">
      <alignment horizontal="center" vertical="center"/>
    </xf>
    <xf numFmtId="179" fontId="7" fillId="0" borderId="4" xfId="0" applyNumberFormat="1" applyFont="1" applyBorder="1" applyAlignment="1">
      <alignment vertical="center"/>
    </xf>
    <xf numFmtId="41" fontId="58" fillId="0" borderId="37" xfId="1" applyFont="1" applyBorder="1" applyAlignment="1">
      <alignment horizontal="left" vertical="center"/>
    </xf>
    <xf numFmtId="0" fontId="5" fillId="0" borderId="68" xfId="0" applyFont="1" applyBorder="1" applyAlignment="1">
      <alignment horizontal="center" vertical="center"/>
    </xf>
    <xf numFmtId="0" fontId="59" fillId="0" borderId="37" xfId="0" applyFont="1" applyBorder="1" applyAlignment="1">
      <alignment horizontal="center" vertical="center"/>
    </xf>
    <xf numFmtId="41" fontId="59" fillId="0" borderId="37" xfId="1" applyFont="1" applyBorder="1" applyAlignment="1">
      <alignment vertical="center"/>
    </xf>
    <xf numFmtId="0" fontId="59" fillId="0" borderId="37" xfId="0" applyFont="1" applyBorder="1" applyAlignment="1">
      <alignment vertical="center"/>
    </xf>
    <xf numFmtId="0" fontId="7" fillId="0" borderId="42" xfId="0" applyFont="1" applyBorder="1" applyAlignment="1">
      <alignment horizontal="left" vertical="center"/>
    </xf>
    <xf numFmtId="176" fontId="4" fillId="0" borderId="63" xfId="0" applyNumberFormat="1" applyFont="1" applyBorder="1" applyAlignment="1">
      <alignment horizontal="right" vertical="center"/>
    </xf>
    <xf numFmtId="176" fontId="5" fillId="0" borderId="62" xfId="0" applyNumberFormat="1" applyFont="1" applyBorder="1" applyAlignment="1">
      <alignment vertical="center"/>
    </xf>
    <xf numFmtId="0" fontId="7" fillId="0" borderId="44" xfId="0" applyFont="1" applyBorder="1" applyAlignment="1">
      <alignment horizontal="left" vertical="center"/>
    </xf>
    <xf numFmtId="41" fontId="58" fillId="0" borderId="33" xfId="1" applyFont="1" applyBorder="1" applyAlignment="1">
      <alignment horizontal="left" vertical="center"/>
    </xf>
    <xf numFmtId="179" fontId="5" fillId="0" borderId="33" xfId="0" applyNumberFormat="1" applyFont="1" applyBorder="1" applyAlignment="1">
      <alignment vertical="center"/>
    </xf>
    <xf numFmtId="176" fontId="5" fillId="0" borderId="69" xfId="0" applyNumberFormat="1" applyFont="1" applyBorder="1" applyAlignment="1">
      <alignment vertical="center"/>
    </xf>
    <xf numFmtId="0" fontId="0" fillId="0" borderId="13" xfId="0" applyBorder="1" applyAlignment="1">
      <alignment vertical="center"/>
    </xf>
    <xf numFmtId="182" fontId="5" fillId="4" borderId="68" xfId="0" applyNumberFormat="1" applyFont="1" applyFill="1" applyBorder="1" applyAlignment="1">
      <alignment vertical="center"/>
    </xf>
    <xf numFmtId="179" fontId="5" fillId="0" borderId="70" xfId="0" applyNumberFormat="1" applyFont="1" applyBorder="1" applyAlignment="1">
      <alignment vertical="center"/>
    </xf>
    <xf numFmtId="176" fontId="9" fillId="0" borderId="71" xfId="0" applyNumberFormat="1" applyFont="1" applyBorder="1" applyAlignment="1">
      <alignment vertical="center"/>
    </xf>
    <xf numFmtId="176" fontId="4" fillId="8" borderId="63" xfId="0" applyNumberFormat="1" applyFont="1" applyFill="1" applyBorder="1" applyAlignment="1">
      <alignment vertical="center"/>
    </xf>
    <xf numFmtId="182" fontId="9" fillId="2" borderId="72" xfId="0" applyNumberFormat="1" applyFont="1" applyFill="1" applyBorder="1" applyAlignment="1">
      <alignment vertical="center"/>
    </xf>
    <xf numFmtId="0" fontId="9" fillId="0" borderId="73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right" vertical="center"/>
    </xf>
    <xf numFmtId="0" fontId="9" fillId="2" borderId="73" xfId="0" applyFont="1" applyFill="1" applyBorder="1" applyAlignment="1">
      <alignment vertical="center"/>
    </xf>
    <xf numFmtId="0" fontId="5" fillId="0" borderId="44" xfId="0" applyFont="1" applyBorder="1" applyAlignment="1">
      <alignment horizontal="left" vertical="center"/>
    </xf>
    <xf numFmtId="0" fontId="5" fillId="0" borderId="75" xfId="0" applyFont="1" applyBorder="1" applyAlignment="1">
      <alignment vertical="center"/>
    </xf>
    <xf numFmtId="182" fontId="5" fillId="2" borderId="34" xfId="1" applyNumberFormat="1" applyFont="1" applyFill="1" applyBorder="1" applyAlignment="1">
      <alignment vertical="center"/>
    </xf>
    <xf numFmtId="179" fontId="4" fillId="0" borderId="70" xfId="0" applyNumberFormat="1" applyFont="1" applyBorder="1" applyAlignment="1">
      <alignment vertical="center"/>
    </xf>
    <xf numFmtId="176" fontId="5" fillId="0" borderId="36" xfId="0" applyNumberFormat="1" applyFont="1" applyBorder="1" applyAlignment="1">
      <alignment vertical="center"/>
    </xf>
    <xf numFmtId="176" fontId="5" fillId="0" borderId="37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179" fontId="4" fillId="0" borderId="77" xfId="0" applyNumberFormat="1" applyFont="1" applyBorder="1" applyAlignment="1">
      <alignment vertical="center"/>
    </xf>
    <xf numFmtId="0" fontId="5" fillId="0" borderId="42" xfId="0" applyFont="1" applyBorder="1" applyAlignment="1">
      <alignment horizontal="left" vertical="center"/>
    </xf>
    <xf numFmtId="179" fontId="5" fillId="0" borderId="31" xfId="0" applyNumberFormat="1" applyFont="1" applyBorder="1" applyAlignment="1">
      <alignment horizontal="right" vertical="top"/>
    </xf>
    <xf numFmtId="176" fontId="5" fillId="0" borderId="79" xfId="0" applyNumberFormat="1" applyFont="1" applyFill="1" applyBorder="1" applyAlignment="1">
      <alignment vertical="center"/>
    </xf>
    <xf numFmtId="176" fontId="4" fillId="0" borderId="80" xfId="0" applyNumberFormat="1" applyFont="1" applyBorder="1" applyAlignment="1">
      <alignment vertical="center"/>
    </xf>
    <xf numFmtId="9" fontId="26" fillId="0" borderId="61" xfId="0" applyNumberFormat="1" applyFont="1" applyBorder="1" applyAlignment="1">
      <alignment horizontal="center" vertical="center"/>
    </xf>
    <xf numFmtId="179" fontId="4" fillId="0" borderId="33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9" fontId="26" fillId="0" borderId="81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vertical="center" wrapText="1"/>
    </xf>
    <xf numFmtId="179" fontId="5" fillId="0" borderId="35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wrapText="1"/>
    </xf>
    <xf numFmtId="179" fontId="5" fillId="0" borderId="4" xfId="0" applyNumberFormat="1" applyFont="1" applyBorder="1" applyAlignment="1">
      <alignment vertical="top"/>
    </xf>
    <xf numFmtId="176" fontId="5" fillId="6" borderId="63" xfId="0" applyNumberFormat="1" applyFont="1" applyFill="1" applyBorder="1" applyAlignment="1">
      <alignment vertical="center"/>
    </xf>
    <xf numFmtId="176" fontId="4" fillId="8" borderId="62" xfId="0" applyNumberFormat="1" applyFont="1" applyFill="1" applyBorder="1" applyAlignment="1">
      <alignment vertical="center"/>
    </xf>
    <xf numFmtId="176" fontId="4" fillId="8" borderId="82" xfId="0" applyNumberFormat="1" applyFont="1" applyFill="1" applyBorder="1" applyAlignment="1">
      <alignment horizontal="right" vertical="center"/>
    </xf>
    <xf numFmtId="176" fontId="4" fillId="6" borderId="83" xfId="0" applyNumberFormat="1" applyFont="1" applyFill="1" applyBorder="1" applyAlignment="1">
      <alignment vertical="center"/>
    </xf>
    <xf numFmtId="0" fontId="60" fillId="0" borderId="39" xfId="0" applyFont="1" applyBorder="1" applyAlignment="1">
      <alignment horizontal="left" vertical="center"/>
    </xf>
    <xf numFmtId="0" fontId="43" fillId="0" borderId="84" xfId="0" applyFont="1" applyBorder="1" applyAlignment="1">
      <alignment horizontal="left" vertical="center"/>
    </xf>
    <xf numFmtId="0" fontId="43" fillId="0" borderId="41" xfId="0" applyFont="1" applyBorder="1" applyAlignment="1">
      <alignment horizontal="left" vertical="center"/>
    </xf>
    <xf numFmtId="176" fontId="20" fillId="0" borderId="0" xfId="0" applyNumberFormat="1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23" fillId="8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41" fontId="3" fillId="0" borderId="23" xfId="0" applyNumberFormat="1" applyFont="1" applyBorder="1" applyAlignment="1">
      <alignment vertical="center"/>
    </xf>
    <xf numFmtId="41" fontId="3" fillId="0" borderId="23" xfId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55" fillId="0" borderId="23" xfId="0" applyNumberFormat="1" applyFont="1" applyBorder="1" applyAlignment="1">
      <alignment vertical="center"/>
    </xf>
    <xf numFmtId="176" fontId="3" fillId="0" borderId="23" xfId="0" applyNumberFormat="1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41" fontId="3" fillId="0" borderId="23" xfId="1" applyFont="1" applyFill="1" applyBorder="1" applyAlignment="1">
      <alignment vertical="center"/>
    </xf>
    <xf numFmtId="176" fontId="0" fillId="0" borderId="23" xfId="0" applyNumberFormat="1" applyBorder="1" applyAlignment="1">
      <alignment vertical="center"/>
    </xf>
    <xf numFmtId="0" fontId="0" fillId="0" borderId="23" xfId="0" applyBorder="1" applyAlignment="1">
      <alignment vertical="center"/>
    </xf>
    <xf numFmtId="41" fontId="8" fillId="0" borderId="23" xfId="1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176" fontId="8" fillId="0" borderId="23" xfId="0" applyNumberFormat="1" applyFont="1" applyBorder="1" applyAlignment="1">
      <alignment vertical="center"/>
    </xf>
    <xf numFmtId="176" fontId="57" fillId="0" borderId="23" xfId="0" applyNumberFormat="1" applyFont="1" applyBorder="1" applyAlignment="1">
      <alignment vertical="center"/>
    </xf>
    <xf numFmtId="182" fontId="55" fillId="0" borderId="23" xfId="0" applyNumberFormat="1" applyFont="1" applyBorder="1" applyAlignment="1">
      <alignment vertical="center"/>
    </xf>
    <xf numFmtId="0" fontId="29" fillId="0" borderId="42" xfId="0" applyFont="1" applyBorder="1" applyAlignment="1">
      <alignment vertical="center"/>
    </xf>
    <xf numFmtId="0" fontId="28" fillId="0" borderId="42" xfId="0" applyFont="1" applyBorder="1" applyAlignment="1">
      <alignment vertical="center"/>
    </xf>
    <xf numFmtId="176" fontId="4" fillId="0" borderId="71" xfId="0" applyNumberFormat="1" applyFont="1" applyBorder="1" applyAlignment="1">
      <alignment vertical="center"/>
    </xf>
    <xf numFmtId="0" fontId="62" fillId="0" borderId="0" xfId="0" applyFont="1" applyAlignment="1">
      <alignment vertical="center"/>
    </xf>
    <xf numFmtId="9" fontId="62" fillId="0" borderId="0" xfId="0" applyNumberFormat="1" applyFont="1" applyAlignment="1">
      <alignment vertical="center"/>
    </xf>
    <xf numFmtId="10" fontId="62" fillId="0" borderId="0" xfId="0" applyNumberFormat="1" applyFont="1" applyAlignment="1">
      <alignment vertical="center"/>
    </xf>
    <xf numFmtId="0" fontId="41" fillId="0" borderId="30" xfId="0" applyFont="1" applyBorder="1" applyAlignment="1">
      <alignment vertical="center"/>
    </xf>
    <xf numFmtId="0" fontId="38" fillId="0" borderId="1" xfId="0" applyFont="1" applyBorder="1" applyAlignment="1">
      <alignment vertical="center"/>
    </xf>
    <xf numFmtId="0" fontId="38" fillId="0" borderId="27" xfId="0" applyFont="1" applyBorder="1" applyAlignment="1">
      <alignment vertical="center"/>
    </xf>
    <xf numFmtId="0" fontId="47" fillId="0" borderId="26" xfId="0" applyFont="1" applyBorder="1" applyAlignment="1">
      <alignment vertical="center"/>
    </xf>
    <xf numFmtId="0" fontId="9" fillId="0" borderId="7" xfId="0" applyFont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9" fillId="0" borderId="19" xfId="0" applyFont="1" applyBorder="1" applyAlignment="1">
      <alignment vertical="center" shrinkToFit="1"/>
    </xf>
    <xf numFmtId="182" fontId="9" fillId="2" borderId="16" xfId="0" applyNumberFormat="1" applyFont="1" applyFill="1" applyBorder="1" applyAlignment="1">
      <alignment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2" borderId="16" xfId="0" applyFont="1" applyFill="1" applyBorder="1" applyAlignment="1">
      <alignment vertical="center" shrinkToFit="1"/>
    </xf>
    <xf numFmtId="0" fontId="7" fillId="0" borderId="16" xfId="0" applyFont="1" applyBorder="1" applyAlignment="1">
      <alignment horizontal="center" vertical="center" shrinkToFit="1"/>
    </xf>
    <xf numFmtId="176" fontId="9" fillId="0" borderId="67" xfId="0" applyNumberFormat="1" applyFont="1" applyBorder="1" applyAlignment="1">
      <alignment vertical="center" shrinkToFit="1"/>
    </xf>
    <xf numFmtId="176" fontId="49" fillId="0" borderId="6" xfId="1" applyNumberFormat="1" applyFont="1" applyBorder="1" applyAlignment="1">
      <alignment vertical="center"/>
    </xf>
    <xf numFmtId="0" fontId="50" fillId="0" borderId="5" xfId="0" applyFont="1" applyBorder="1" applyAlignment="1">
      <alignment vertical="center"/>
    </xf>
    <xf numFmtId="0" fontId="50" fillId="2" borderId="7" xfId="0" applyFont="1" applyFill="1" applyBorder="1" applyAlignment="1">
      <alignment vertical="center"/>
    </xf>
    <xf numFmtId="0" fontId="50" fillId="2" borderId="16" xfId="0" applyFont="1" applyFill="1" applyBorder="1" applyAlignment="1">
      <alignment vertical="center"/>
    </xf>
    <xf numFmtId="0" fontId="50" fillId="2" borderId="8" xfId="0" applyFont="1" applyFill="1" applyBorder="1" applyAlignment="1">
      <alignment vertical="center"/>
    </xf>
    <xf numFmtId="0" fontId="50" fillId="2" borderId="0" xfId="0" applyFont="1" applyFill="1" applyBorder="1" applyAlignment="1">
      <alignment vertical="center"/>
    </xf>
    <xf numFmtId="0" fontId="50" fillId="2" borderId="6" xfId="0" applyFont="1" applyFill="1" applyBorder="1" applyAlignment="1">
      <alignment vertical="center"/>
    </xf>
    <xf numFmtId="0" fontId="50" fillId="2" borderId="5" xfId="0" applyFont="1" applyFill="1" applyBorder="1" applyAlignment="1">
      <alignment vertical="center"/>
    </xf>
    <xf numFmtId="0" fontId="50" fillId="0" borderId="6" xfId="0" applyFont="1" applyBorder="1" applyAlignment="1">
      <alignment vertical="center"/>
    </xf>
    <xf numFmtId="0" fontId="50" fillId="4" borderId="7" xfId="0" applyFont="1" applyFill="1" applyBorder="1" applyAlignment="1">
      <alignment vertical="center"/>
    </xf>
    <xf numFmtId="176" fontId="50" fillId="0" borderId="6" xfId="0" applyNumberFormat="1" applyFont="1" applyBorder="1" applyAlignment="1">
      <alignment vertical="center"/>
    </xf>
    <xf numFmtId="0" fontId="50" fillId="0" borderId="9" xfId="0" applyFont="1" applyBorder="1" applyAlignment="1">
      <alignment vertical="center"/>
    </xf>
    <xf numFmtId="176" fontId="50" fillId="0" borderId="29" xfId="0" applyNumberFormat="1" applyFont="1" applyBorder="1" applyAlignment="1">
      <alignment horizontal="center" vertical="center"/>
    </xf>
    <xf numFmtId="176" fontId="50" fillId="0" borderId="5" xfId="0" applyNumberFormat="1" applyFont="1" applyBorder="1" applyAlignment="1">
      <alignment horizontal="center" vertical="center"/>
    </xf>
    <xf numFmtId="176" fontId="50" fillId="0" borderId="9" xfId="0" applyNumberFormat="1" applyFont="1" applyBorder="1" applyAlignment="1">
      <alignment horizontal="center" vertical="center"/>
    </xf>
    <xf numFmtId="176" fontId="50" fillId="0" borderId="6" xfId="1" applyNumberFormat="1" applyFont="1" applyBorder="1" applyAlignment="1">
      <alignment vertical="center"/>
    </xf>
    <xf numFmtId="0" fontId="50" fillId="0" borderId="7" xfId="0" applyFont="1" applyBorder="1" applyAlignment="1">
      <alignment vertical="center"/>
    </xf>
    <xf numFmtId="0" fontId="50" fillId="0" borderId="21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50" fillId="0" borderId="16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5" fillId="0" borderId="30" xfId="0" applyFont="1" applyBorder="1" applyAlignment="1">
      <alignment vertical="center" wrapText="1"/>
    </xf>
    <xf numFmtId="0" fontId="4" fillId="0" borderId="45" xfId="0" applyFont="1" applyBorder="1" applyAlignment="1">
      <alignment horizontal="center" vertical="center"/>
    </xf>
    <xf numFmtId="49" fontId="36" fillId="0" borderId="12" xfId="0" applyNumberFormat="1" applyFont="1" applyBorder="1" applyAlignment="1">
      <alignment horizontal="left" vertical="center"/>
    </xf>
    <xf numFmtId="3" fontId="56" fillId="2" borderId="10" xfId="0" applyNumberFormat="1" applyFont="1" applyFill="1" applyBorder="1" applyAlignment="1">
      <alignment vertical="center"/>
    </xf>
    <xf numFmtId="3" fontId="9" fillId="2" borderId="17" xfId="0" applyNumberFormat="1" applyFont="1" applyFill="1" applyBorder="1" applyAlignment="1">
      <alignment vertical="center"/>
    </xf>
    <xf numFmtId="3" fontId="9" fillId="2" borderId="28" xfId="0" applyNumberFormat="1" applyFont="1" applyFill="1" applyBorder="1" applyAlignment="1">
      <alignment vertical="center"/>
    </xf>
    <xf numFmtId="182" fontId="5" fillId="2" borderId="45" xfId="0" applyNumberFormat="1" applyFont="1" applyFill="1" applyBorder="1" applyAlignment="1">
      <alignment vertical="center"/>
    </xf>
    <xf numFmtId="0" fontId="5" fillId="0" borderId="45" xfId="0" applyFont="1" applyBorder="1" applyAlignment="1">
      <alignment horizontal="center" vertical="center"/>
    </xf>
    <xf numFmtId="0" fontId="5" fillId="0" borderId="45" xfId="0" applyFont="1" applyBorder="1" applyAlignment="1">
      <alignment vertical="center"/>
    </xf>
    <xf numFmtId="0" fontId="5" fillId="2" borderId="45" xfId="0" applyFont="1" applyFill="1" applyBorder="1" applyAlignment="1">
      <alignment vertical="center"/>
    </xf>
    <xf numFmtId="176" fontId="5" fillId="0" borderId="46" xfId="0" applyNumberFormat="1" applyFont="1" applyBorder="1" applyAlignment="1">
      <alignment vertical="center"/>
    </xf>
    <xf numFmtId="182" fontId="56" fillId="2" borderId="8" xfId="0" applyNumberFormat="1" applyFont="1" applyFill="1" applyBorder="1" applyAlignment="1">
      <alignment vertical="center"/>
    </xf>
    <xf numFmtId="182" fontId="56" fillId="2" borderId="29" xfId="0" applyNumberFormat="1" applyFont="1" applyFill="1" applyBorder="1" applyAlignment="1">
      <alignment vertical="center"/>
    </xf>
    <xf numFmtId="182" fontId="63" fillId="2" borderId="11" xfId="0" applyNumberFormat="1" applyFont="1" applyFill="1" applyBorder="1" applyAlignment="1">
      <alignment vertical="center"/>
    </xf>
    <xf numFmtId="182" fontId="63" fillId="2" borderId="8" xfId="0" applyNumberFormat="1" applyFont="1" applyFill="1" applyBorder="1" applyAlignment="1">
      <alignment vertical="center"/>
    </xf>
    <xf numFmtId="176" fontId="5" fillId="8" borderId="80" xfId="0" applyNumberFormat="1" applyFont="1" applyFill="1" applyBorder="1" applyAlignment="1">
      <alignment vertical="center"/>
    </xf>
    <xf numFmtId="176" fontId="5" fillId="8" borderId="62" xfId="0" applyNumberFormat="1" applyFont="1" applyFill="1" applyBorder="1" applyAlignment="1">
      <alignment horizontal="right" vertical="center"/>
    </xf>
    <xf numFmtId="182" fontId="63" fillId="2" borderId="29" xfId="0" applyNumberFormat="1" applyFont="1" applyFill="1" applyBorder="1" applyAlignment="1">
      <alignment vertical="center"/>
    </xf>
    <xf numFmtId="182" fontId="63" fillId="2" borderId="16" xfId="0" applyNumberFormat="1" applyFont="1" applyFill="1" applyBorder="1" applyAlignment="1">
      <alignment vertical="center"/>
    </xf>
    <xf numFmtId="3" fontId="63" fillId="2" borderId="15" xfId="0" applyNumberFormat="1" applyFont="1" applyFill="1" applyBorder="1" applyAlignment="1">
      <alignment vertical="center"/>
    </xf>
    <xf numFmtId="182" fontId="56" fillId="2" borderId="7" xfId="0" applyNumberFormat="1" applyFont="1" applyFill="1" applyBorder="1" applyAlignment="1">
      <alignment vertical="center"/>
    </xf>
    <xf numFmtId="0" fontId="64" fillId="0" borderId="31" xfId="0" applyFont="1" applyBorder="1" applyAlignment="1">
      <alignment vertical="center"/>
    </xf>
    <xf numFmtId="182" fontId="63" fillId="0" borderId="17" xfId="1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11" fillId="5" borderId="13" xfId="0" applyFont="1" applyFill="1" applyBorder="1" applyAlignment="1">
      <alignment horizontal="center" vertical="center"/>
    </xf>
    <xf numFmtId="41" fontId="58" fillId="0" borderId="13" xfId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7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182" fontId="5" fillId="2" borderId="17" xfId="0" applyNumberFormat="1" applyFont="1" applyFill="1" applyBorder="1" applyAlignment="1">
      <alignment vertical="center"/>
    </xf>
    <xf numFmtId="182" fontId="5" fillId="2" borderId="20" xfId="0" applyNumberFormat="1" applyFont="1" applyFill="1" applyBorder="1" applyAlignment="1">
      <alignment vertical="center"/>
    </xf>
    <xf numFmtId="182" fontId="5" fillId="2" borderId="5" xfId="1" applyNumberFormat="1" applyFont="1" applyFill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9" fontId="5" fillId="0" borderId="78" xfId="0" applyNumberFormat="1" applyFont="1" applyBorder="1" applyAlignment="1">
      <alignment horizontal="center" vertical="center"/>
    </xf>
    <xf numFmtId="0" fontId="38" fillId="0" borderId="5" xfId="0" applyFont="1" applyBorder="1" applyAlignment="1">
      <alignment vertical="center"/>
    </xf>
    <xf numFmtId="182" fontId="56" fillId="2" borderId="15" xfId="0" applyNumberFormat="1" applyFont="1" applyFill="1" applyBorder="1" applyAlignment="1">
      <alignment vertical="center"/>
    </xf>
    <xf numFmtId="182" fontId="56" fillId="2" borderId="35" xfId="0" applyNumberFormat="1" applyFont="1" applyFill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9" fillId="2" borderId="34" xfId="0" applyFont="1" applyFill="1" applyBorder="1" applyAlignment="1">
      <alignment horizontal="right" vertical="center"/>
    </xf>
    <xf numFmtId="0" fontId="9" fillId="2" borderId="34" xfId="0" applyFont="1" applyFill="1" applyBorder="1" applyAlignment="1">
      <alignment vertical="center"/>
    </xf>
    <xf numFmtId="179" fontId="7" fillId="0" borderId="57" xfId="0" applyNumberFormat="1" applyFont="1" applyBorder="1" applyAlignment="1">
      <alignment vertical="center"/>
    </xf>
    <xf numFmtId="179" fontId="4" fillId="0" borderId="36" xfId="0" applyNumberFormat="1" applyFont="1" applyBorder="1" applyAlignment="1">
      <alignment horizontal="right" vertical="center"/>
    </xf>
    <xf numFmtId="176" fontId="9" fillId="0" borderId="36" xfId="1" applyNumberFormat="1" applyFont="1" applyBorder="1" applyAlignment="1">
      <alignment vertical="center"/>
    </xf>
    <xf numFmtId="176" fontId="9" fillId="0" borderId="37" xfId="1" applyNumberFormat="1" applyFont="1" applyBorder="1" applyAlignment="1">
      <alignment vertical="center"/>
    </xf>
    <xf numFmtId="176" fontId="50" fillId="0" borderId="37" xfId="1" applyNumberFormat="1" applyFont="1" applyBorder="1" applyAlignment="1">
      <alignment vertical="center"/>
    </xf>
    <xf numFmtId="176" fontId="7" fillId="6" borderId="83" xfId="1" applyNumberFormat="1" applyFont="1" applyFill="1" applyBorder="1" applyAlignment="1">
      <alignment vertical="center"/>
    </xf>
    <xf numFmtId="0" fontId="9" fillId="0" borderId="60" xfId="0" applyFont="1" applyBorder="1" applyAlignment="1">
      <alignment horizontal="left" vertical="center"/>
    </xf>
    <xf numFmtId="176" fontId="7" fillId="0" borderId="80" xfId="1" applyNumberFormat="1" applyFont="1" applyBorder="1" applyAlignment="1">
      <alignment vertical="center"/>
    </xf>
    <xf numFmtId="0" fontId="9" fillId="0" borderId="42" xfId="0" applyFont="1" applyBorder="1" applyAlignment="1">
      <alignment vertical="center"/>
    </xf>
    <xf numFmtId="176" fontId="9" fillId="0" borderId="63" xfId="1" applyNumberFormat="1" applyFont="1" applyBorder="1" applyAlignment="1">
      <alignment vertical="center"/>
    </xf>
    <xf numFmtId="176" fontId="9" fillId="0" borderId="43" xfId="1" applyNumberFormat="1" applyFont="1" applyBorder="1" applyAlignment="1">
      <alignment vertical="center"/>
    </xf>
    <xf numFmtId="176" fontId="9" fillId="0" borderId="67" xfId="1" applyNumberFormat="1" applyFont="1" applyBorder="1" applyAlignment="1">
      <alignment vertical="center"/>
    </xf>
    <xf numFmtId="0" fontId="9" fillId="0" borderId="44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49" fontId="9" fillId="0" borderId="85" xfId="0" applyNumberFormat="1" applyFont="1" applyBorder="1" applyAlignment="1">
      <alignment horizontal="left" vertical="center" wrapText="1"/>
    </xf>
    <xf numFmtId="176" fontId="9" fillId="2" borderId="73" xfId="1" applyNumberFormat="1" applyFont="1" applyFill="1" applyBorder="1" applyAlignment="1">
      <alignment vertical="center"/>
    </xf>
    <xf numFmtId="0" fontId="12" fillId="0" borderId="73" xfId="0" applyFont="1" applyBorder="1" applyAlignment="1">
      <alignment horizontal="right" vertical="center"/>
    </xf>
    <xf numFmtId="0" fontId="9" fillId="0" borderId="73" xfId="0" applyFont="1" applyBorder="1" applyAlignment="1">
      <alignment vertical="center"/>
    </xf>
    <xf numFmtId="0" fontId="50" fillId="0" borderId="73" xfId="0" applyFont="1" applyBorder="1" applyAlignment="1">
      <alignment vertical="center"/>
    </xf>
    <xf numFmtId="176" fontId="9" fillId="0" borderId="79" xfId="1" applyNumberFormat="1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176" fontId="6" fillId="0" borderId="0" xfId="0" applyNumberFormat="1" applyFont="1" applyBorder="1" applyAlignment="1">
      <alignment horizontal="center" vertical="center"/>
    </xf>
    <xf numFmtId="0" fontId="11" fillId="5" borderId="84" xfId="0" applyFont="1" applyFill="1" applyBorder="1" applyAlignment="1">
      <alignment horizontal="center" vertical="center"/>
    </xf>
    <xf numFmtId="41" fontId="52" fillId="6" borderId="80" xfId="1" applyFont="1" applyFill="1" applyBorder="1" applyAlignment="1">
      <alignment vertical="center"/>
    </xf>
    <xf numFmtId="176" fontId="9" fillId="0" borderId="62" xfId="1" applyNumberFormat="1" applyFont="1" applyBorder="1" applyAlignment="1">
      <alignment vertical="center"/>
    </xf>
    <xf numFmtId="176" fontId="9" fillId="0" borderId="65" xfId="1" applyNumberFormat="1" applyFont="1" applyBorder="1" applyAlignment="1">
      <alignment vertical="center"/>
    </xf>
    <xf numFmtId="176" fontId="9" fillId="0" borderId="80" xfId="1" applyNumberFormat="1" applyFont="1" applyBorder="1" applyAlignment="1">
      <alignment vertical="center"/>
    </xf>
    <xf numFmtId="176" fontId="7" fillId="6" borderId="80" xfId="1" applyNumberFormat="1" applyFont="1" applyFill="1" applyBorder="1" applyAlignment="1">
      <alignment vertical="center"/>
    </xf>
    <xf numFmtId="176" fontId="7" fillId="0" borderId="63" xfId="1" applyNumberFormat="1" applyFont="1" applyBorder="1" applyAlignment="1">
      <alignment vertical="center"/>
    </xf>
    <xf numFmtId="176" fontId="7" fillId="0" borderId="62" xfId="1" applyNumberFormat="1" applyFont="1" applyBorder="1" applyAlignment="1">
      <alignment vertical="center"/>
    </xf>
    <xf numFmtId="176" fontId="7" fillId="0" borderId="80" xfId="0" applyNumberFormat="1" applyFont="1" applyBorder="1" applyAlignment="1">
      <alignment vertical="center"/>
    </xf>
    <xf numFmtId="176" fontId="9" fillId="0" borderId="66" xfId="1" applyNumberFormat="1" applyFont="1" applyBorder="1" applyAlignment="1">
      <alignment vertical="center"/>
    </xf>
    <xf numFmtId="176" fontId="7" fillId="8" borderId="80" xfId="0" applyNumberFormat="1" applyFont="1" applyFill="1" applyBorder="1" applyAlignment="1">
      <alignment vertical="center"/>
    </xf>
    <xf numFmtId="176" fontId="11" fillId="0" borderId="62" xfId="1" applyNumberFormat="1" applyFont="1" applyBorder="1" applyAlignment="1">
      <alignment vertical="center"/>
    </xf>
    <xf numFmtId="176" fontId="9" fillId="0" borderId="64" xfId="1" applyNumberFormat="1" applyFont="1" applyBorder="1" applyAlignment="1">
      <alignment vertical="center"/>
    </xf>
    <xf numFmtId="0" fontId="9" fillId="0" borderId="61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176" fontId="9" fillId="0" borderId="71" xfId="1" applyNumberFormat="1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176" fontId="9" fillId="2" borderId="16" xfId="1" applyNumberFormat="1" applyFont="1" applyFill="1" applyBorder="1" applyAlignment="1">
      <alignment vertical="center"/>
    </xf>
    <xf numFmtId="179" fontId="4" fillId="0" borderId="18" xfId="0" applyNumberFormat="1" applyFont="1" applyBorder="1" applyAlignment="1">
      <alignment horizontal="right" vertical="center"/>
    </xf>
    <xf numFmtId="176" fontId="9" fillId="0" borderId="18" xfId="1" applyNumberFormat="1" applyFont="1" applyBorder="1" applyAlignment="1">
      <alignment vertical="center"/>
    </xf>
    <xf numFmtId="176" fontId="9" fillId="0" borderId="21" xfId="1" applyNumberFormat="1" applyFont="1" applyBorder="1" applyAlignment="1">
      <alignment vertical="center"/>
    </xf>
    <xf numFmtId="176" fontId="50" fillId="0" borderId="21" xfId="1" applyNumberFormat="1" applyFont="1" applyBorder="1" applyAlignment="1">
      <alignment vertical="center"/>
    </xf>
    <xf numFmtId="176" fontId="7" fillId="6" borderId="71" xfId="1" applyNumberFormat="1" applyFont="1" applyFill="1" applyBorder="1" applyAlignment="1">
      <alignment vertical="center"/>
    </xf>
    <xf numFmtId="0" fontId="9" fillId="0" borderId="81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49" fontId="65" fillId="0" borderId="1" xfId="0" applyNumberFormat="1" applyFont="1" applyBorder="1" applyAlignment="1">
      <alignment horizontal="left" vertical="center" wrapText="1"/>
    </xf>
    <xf numFmtId="0" fontId="65" fillId="2" borderId="5" xfId="0" applyFont="1" applyFill="1" applyBorder="1" applyAlignment="1">
      <alignment horizontal="right" vertical="center"/>
    </xf>
    <xf numFmtId="176" fontId="56" fillId="0" borderId="62" xfId="1" applyNumberFormat="1" applyFont="1" applyBorder="1" applyAlignment="1">
      <alignment vertical="center"/>
    </xf>
    <xf numFmtId="49" fontId="9" fillId="0" borderId="31" xfId="0" applyNumberFormat="1" applyFont="1" applyBorder="1" applyAlignment="1">
      <alignment horizontal="left" vertical="center"/>
    </xf>
    <xf numFmtId="176" fontId="66" fillId="2" borderId="45" xfId="1" applyNumberFormat="1" applyFont="1" applyFill="1" applyBorder="1" applyAlignment="1">
      <alignment vertical="center"/>
    </xf>
    <xf numFmtId="0" fontId="9" fillId="0" borderId="45" xfId="0" applyFont="1" applyBorder="1" applyAlignment="1">
      <alignment horizontal="center" vertical="center"/>
    </xf>
    <xf numFmtId="0" fontId="12" fillId="0" borderId="45" xfId="0" applyFont="1" applyBorder="1" applyAlignment="1">
      <alignment horizontal="right" vertical="center"/>
    </xf>
    <xf numFmtId="0" fontId="9" fillId="0" borderId="45" xfId="0" applyFont="1" applyBorder="1" applyAlignment="1">
      <alignment vertical="center"/>
    </xf>
    <xf numFmtId="0" fontId="50" fillId="0" borderId="45" xfId="0" applyFont="1" applyBorder="1" applyAlignment="1">
      <alignment vertical="center"/>
    </xf>
    <xf numFmtId="176" fontId="9" fillId="0" borderId="46" xfId="1" applyNumberFormat="1" applyFont="1" applyBorder="1" applyAlignment="1">
      <alignment vertical="center"/>
    </xf>
    <xf numFmtId="49" fontId="9" fillId="0" borderId="14" xfId="0" applyNumberFormat="1" applyFont="1" applyBorder="1" applyAlignment="1">
      <alignment horizontal="left" vertical="center"/>
    </xf>
    <xf numFmtId="179" fontId="5" fillId="0" borderId="18" xfId="0" applyNumberFormat="1" applyFont="1" applyBorder="1" applyAlignment="1">
      <alignment horizontal="right" vertical="center"/>
    </xf>
    <xf numFmtId="176" fontId="7" fillId="7" borderId="83" xfId="1" applyNumberFormat="1" applyFont="1" applyFill="1" applyBorder="1" applyAlignment="1">
      <alignment vertical="center"/>
    </xf>
    <xf numFmtId="0" fontId="5" fillId="0" borderId="81" xfId="0" applyFont="1" applyBorder="1" applyAlignment="1">
      <alignment vertical="center"/>
    </xf>
    <xf numFmtId="49" fontId="9" fillId="0" borderId="85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 shrinkToFit="1"/>
    </xf>
    <xf numFmtId="176" fontId="9" fillId="0" borderId="14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50" fillId="0" borderId="0" xfId="0" applyNumberFormat="1" applyFont="1" applyBorder="1" applyAlignment="1">
      <alignment vertical="center"/>
    </xf>
    <xf numFmtId="176" fontId="7" fillId="0" borderId="43" xfId="0" applyNumberFormat="1" applyFont="1" applyBorder="1" applyAlignment="1">
      <alignment vertical="center"/>
    </xf>
    <xf numFmtId="176" fontId="9" fillId="0" borderId="36" xfId="0" applyNumberFormat="1" applyFont="1" applyBorder="1" applyAlignment="1">
      <alignment vertical="center"/>
    </xf>
    <xf numFmtId="176" fontId="9" fillId="0" borderId="37" xfId="0" applyNumberFormat="1" applyFont="1" applyBorder="1" applyAlignment="1">
      <alignment vertical="center"/>
    </xf>
    <xf numFmtId="176" fontId="50" fillId="0" borderId="37" xfId="0" applyNumberFormat="1" applyFont="1" applyBorder="1" applyAlignment="1">
      <alignment vertical="center"/>
    </xf>
    <xf numFmtId="176" fontId="7" fillId="0" borderId="83" xfId="0" applyNumberFormat="1" applyFont="1" applyBorder="1" applyAlignment="1">
      <alignment vertical="center"/>
    </xf>
    <xf numFmtId="0" fontId="5" fillId="0" borderId="31" xfId="0" applyFont="1" applyBorder="1" applyAlignment="1">
      <alignment vertical="center" shrinkToFit="1"/>
    </xf>
    <xf numFmtId="176" fontId="9" fillId="2" borderId="73" xfId="1" applyNumberFormat="1" applyFont="1" applyFill="1" applyBorder="1" applyAlignment="1">
      <alignment horizontal="right" vertical="center"/>
    </xf>
    <xf numFmtId="176" fontId="5" fillId="0" borderId="77" xfId="1" applyNumberFormat="1" applyFont="1" applyBorder="1" applyAlignment="1">
      <alignment vertical="center"/>
    </xf>
    <xf numFmtId="176" fontId="5" fillId="0" borderId="59" xfId="1" applyNumberFormat="1" applyFont="1" applyBorder="1" applyAlignment="1">
      <alignment vertical="center"/>
    </xf>
    <xf numFmtId="176" fontId="49" fillId="0" borderId="59" xfId="1" applyNumberFormat="1" applyFont="1" applyBorder="1" applyAlignment="1">
      <alignment vertical="center"/>
    </xf>
    <xf numFmtId="49" fontId="5" fillId="0" borderId="85" xfId="0" applyNumberFormat="1" applyFont="1" applyBorder="1" applyAlignment="1">
      <alignment horizontal="left" vertical="center"/>
    </xf>
    <xf numFmtId="3" fontId="9" fillId="2" borderId="72" xfId="0" applyNumberFormat="1" applyFont="1" applyFill="1" applyBorder="1" applyAlignment="1">
      <alignment vertical="center"/>
    </xf>
    <xf numFmtId="0" fontId="50" fillId="2" borderId="73" xfId="0" applyFont="1" applyFill="1" applyBorder="1" applyAlignment="1">
      <alignment vertical="center"/>
    </xf>
    <xf numFmtId="0" fontId="11" fillId="5" borderId="13" xfId="0" applyFont="1" applyFill="1" applyBorder="1" applyAlignment="1">
      <alignment horizontal="center" vertical="center"/>
    </xf>
    <xf numFmtId="0" fontId="0" fillId="0" borderId="0" xfId="0" applyBorder="1"/>
    <xf numFmtId="176" fontId="54" fillId="0" borderId="0" xfId="1" applyNumberFormat="1" applyFont="1" applyBorder="1" applyAlignment="1">
      <alignment vertical="center"/>
    </xf>
    <xf numFmtId="0" fontId="25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179" fontId="5" fillId="0" borderId="4" xfId="0" applyNumberFormat="1" applyFont="1" applyBorder="1" applyAlignment="1">
      <alignment horizontal="right" vertical="top"/>
    </xf>
    <xf numFmtId="179" fontId="5" fillId="0" borderId="2" xfId="0" applyNumberFormat="1" applyFont="1" applyBorder="1" applyAlignment="1">
      <alignment horizontal="right" vertical="top"/>
    </xf>
    <xf numFmtId="0" fontId="67" fillId="0" borderId="100" xfId="0" applyFont="1" applyFill="1" applyBorder="1" applyAlignment="1">
      <alignment horizontal="center" vertical="center" wrapText="1"/>
    </xf>
    <xf numFmtId="0" fontId="67" fillId="0" borderId="101" xfId="0" applyFont="1" applyFill="1" applyBorder="1" applyAlignment="1">
      <alignment horizontal="left" vertical="center" wrapText="1"/>
    </xf>
    <xf numFmtId="0" fontId="67" fillId="0" borderId="102" xfId="0" applyFont="1" applyFill="1" applyBorder="1" applyAlignment="1">
      <alignment horizontal="left" vertical="center" wrapText="1"/>
    </xf>
    <xf numFmtId="3" fontId="67" fillId="0" borderId="102" xfId="0" applyNumberFormat="1" applyFont="1" applyFill="1" applyBorder="1" applyAlignment="1">
      <alignment horizontal="right" vertical="center" wrapText="1"/>
    </xf>
    <xf numFmtId="0" fontId="0" fillId="0" borderId="0" xfId="0" applyFill="1"/>
    <xf numFmtId="3" fontId="67" fillId="0" borderId="103" xfId="0" applyNumberFormat="1" applyFont="1" applyFill="1" applyBorder="1" applyAlignment="1">
      <alignment horizontal="right" vertical="center" wrapText="1"/>
    </xf>
    <xf numFmtId="0" fontId="67" fillId="0" borderId="104" xfId="0" applyFont="1" applyFill="1" applyBorder="1" applyAlignment="1">
      <alignment horizontal="left" vertical="center" wrapText="1"/>
    </xf>
    <xf numFmtId="179" fontId="4" fillId="0" borderId="1" xfId="0" applyNumberFormat="1" applyFont="1" applyBorder="1" applyAlignment="1">
      <alignment horizontal="right" vertical="center"/>
    </xf>
    <xf numFmtId="179" fontId="4" fillId="0" borderId="4" xfId="0" applyNumberFormat="1" applyFont="1" applyBorder="1" applyAlignment="1">
      <alignment horizontal="right" vertical="center"/>
    </xf>
    <xf numFmtId="179" fontId="4" fillId="0" borderId="57" xfId="0" applyNumberFormat="1" applyFont="1" applyBorder="1" applyAlignment="1">
      <alignment horizontal="right" vertical="center"/>
    </xf>
    <xf numFmtId="179" fontId="7" fillId="0" borderId="57" xfId="0" applyNumberFormat="1" applyFont="1" applyBorder="1" applyAlignment="1">
      <alignment horizontal="right" vertical="center"/>
    </xf>
    <xf numFmtId="179" fontId="7" fillId="0" borderId="13" xfId="0" applyNumberFormat="1" applyFont="1" applyBorder="1" applyAlignment="1">
      <alignment horizontal="right" vertical="center"/>
    </xf>
    <xf numFmtId="179" fontId="7" fillId="0" borderId="4" xfId="0" applyNumberFormat="1" applyFont="1" applyBorder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179" fontId="4" fillId="0" borderId="2" xfId="0" applyNumberFormat="1" applyFont="1" applyBorder="1" applyAlignment="1">
      <alignment horizontal="right" vertical="center"/>
    </xf>
    <xf numFmtId="176" fontId="5" fillId="0" borderId="14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49" fillId="0" borderId="0" xfId="1" applyNumberFormat="1" applyFont="1" applyBorder="1" applyAlignment="1">
      <alignment vertical="center"/>
    </xf>
    <xf numFmtId="41" fontId="52" fillId="0" borderId="43" xfId="1" applyFont="1" applyBorder="1" applyAlignment="1">
      <alignment vertical="center"/>
    </xf>
    <xf numFmtId="179" fontId="4" fillId="0" borderId="33" xfId="0" applyNumberFormat="1" applyFont="1" applyBorder="1" applyAlignment="1">
      <alignment horizontal="right" vertical="center"/>
    </xf>
    <xf numFmtId="179" fontId="4" fillId="0" borderId="35" xfId="0" applyNumberFormat="1" applyFont="1" applyBorder="1" applyAlignment="1">
      <alignment horizontal="right" vertical="center"/>
    </xf>
    <xf numFmtId="176" fontId="5" fillId="0" borderId="35" xfId="1" applyNumberFormat="1" applyFont="1" applyBorder="1" applyAlignment="1">
      <alignment vertical="center"/>
    </xf>
    <xf numFmtId="176" fontId="5" fillId="0" borderId="34" xfId="1" applyNumberFormat="1" applyFont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41" fontId="52" fillId="0" borderId="80" xfId="1" applyFont="1" applyFill="1" applyBorder="1" applyAlignment="1">
      <alignment vertical="center"/>
    </xf>
    <xf numFmtId="176" fontId="63" fillId="6" borderId="62" xfId="1" applyNumberFormat="1" applyFont="1" applyFill="1" applyBorder="1" applyAlignment="1">
      <alignment vertical="center"/>
    </xf>
    <xf numFmtId="176" fontId="9" fillId="6" borderId="62" xfId="1" applyNumberFormat="1" applyFont="1" applyFill="1" applyBorder="1" applyAlignment="1">
      <alignment vertical="center"/>
    </xf>
    <xf numFmtId="176" fontId="7" fillId="0" borderId="80" xfId="0" applyNumberFormat="1" applyFont="1" applyFill="1" applyBorder="1" applyAlignment="1">
      <alignment vertical="center"/>
    </xf>
    <xf numFmtId="176" fontId="68" fillId="8" borderId="63" xfId="1" applyNumberFormat="1" applyFont="1" applyFill="1" applyBorder="1" applyAlignment="1">
      <alignment vertical="center"/>
    </xf>
    <xf numFmtId="176" fontId="11" fillId="8" borderId="62" xfId="1" applyNumberFormat="1" applyFont="1" applyFill="1" applyBorder="1" applyAlignment="1">
      <alignment vertical="center"/>
    </xf>
    <xf numFmtId="176" fontId="7" fillId="8" borderId="62" xfId="1" applyNumberFormat="1" applyFont="1" applyFill="1" applyBorder="1" applyAlignment="1">
      <alignment vertical="center"/>
    </xf>
    <xf numFmtId="179" fontId="5" fillId="0" borderId="1" xfId="0" applyNumberFormat="1" applyFont="1" applyBorder="1" applyAlignment="1">
      <alignment vertical="top" wrapText="1"/>
    </xf>
    <xf numFmtId="179" fontId="5" fillId="0" borderId="2" xfId="0" applyNumberFormat="1" applyFont="1" applyBorder="1" applyAlignment="1">
      <alignment vertical="top" wrapText="1"/>
    </xf>
    <xf numFmtId="182" fontId="63" fillId="0" borderId="5" xfId="1" applyNumberFormat="1" applyFont="1" applyFill="1" applyBorder="1" applyAlignment="1">
      <alignment horizontal="right" vertical="center"/>
    </xf>
    <xf numFmtId="176" fontId="5" fillId="0" borderId="63" xfId="0" applyNumberFormat="1" applyFont="1" applyFill="1" applyBorder="1" applyAlignment="1">
      <alignment vertical="center"/>
    </xf>
    <xf numFmtId="176" fontId="5" fillId="0" borderId="65" xfId="0" applyNumberFormat="1" applyFont="1" applyFill="1" applyBorder="1" applyAlignment="1">
      <alignment vertical="center"/>
    </xf>
    <xf numFmtId="176" fontId="5" fillId="0" borderId="66" xfId="0" applyNumberFormat="1" applyFont="1" applyFill="1" applyBorder="1" applyAlignment="1">
      <alignment vertical="center"/>
    </xf>
    <xf numFmtId="176" fontId="5" fillId="6" borderId="62" xfId="0" applyNumberFormat="1" applyFont="1" applyFill="1" applyBorder="1" applyAlignment="1">
      <alignment horizontal="right" vertical="center"/>
    </xf>
    <xf numFmtId="0" fontId="5" fillId="0" borderId="25" xfId="0" applyFont="1" applyBorder="1" applyAlignment="1">
      <alignment vertical="center" wrapText="1"/>
    </xf>
    <xf numFmtId="176" fontId="4" fillId="0" borderId="80" xfId="0" applyNumberFormat="1" applyFont="1" applyFill="1" applyBorder="1" applyAlignment="1">
      <alignment vertical="center"/>
    </xf>
    <xf numFmtId="176" fontId="5" fillId="6" borderId="63" xfId="0" applyNumberFormat="1" applyFont="1" applyFill="1" applyBorder="1" applyAlignment="1">
      <alignment horizontal="right" vertical="center"/>
    </xf>
    <xf numFmtId="176" fontId="9" fillId="6" borderId="63" xfId="0" applyNumberFormat="1" applyFont="1" applyFill="1" applyBorder="1" applyAlignment="1">
      <alignment vertical="center" shrinkToFit="1"/>
    </xf>
    <xf numFmtId="0" fontId="9" fillId="0" borderId="25" xfId="0" applyFont="1" applyBorder="1" applyAlignment="1">
      <alignment vertical="center" wrapText="1"/>
    </xf>
    <xf numFmtId="176" fontId="9" fillId="0" borderId="65" xfId="0" applyNumberFormat="1" applyFont="1" applyFill="1" applyBorder="1" applyAlignment="1">
      <alignment vertical="center"/>
    </xf>
    <xf numFmtId="176" fontId="36" fillId="6" borderId="63" xfId="0" applyNumberFormat="1" applyFont="1" applyFill="1" applyBorder="1" applyAlignment="1">
      <alignment horizontal="right" vertical="center"/>
    </xf>
    <xf numFmtId="176" fontId="5" fillId="0" borderId="67" xfId="0" applyNumberFormat="1" applyFont="1" applyFill="1" applyBorder="1" applyAlignment="1">
      <alignment vertical="center"/>
    </xf>
    <xf numFmtId="176" fontId="5" fillId="6" borderId="80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76" fontId="36" fillId="8" borderId="63" xfId="0" applyNumberFormat="1" applyFont="1" applyFill="1" applyBorder="1" applyAlignment="1">
      <alignment horizontal="right" vertical="center"/>
    </xf>
    <xf numFmtId="176" fontId="4" fillId="8" borderId="83" xfId="0" applyNumberFormat="1" applyFont="1" applyFill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3" fontId="67" fillId="0" borderId="105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vertical="top" wrapText="1"/>
    </xf>
    <xf numFmtId="0" fontId="5" fillId="0" borderId="29" xfId="0" applyFont="1" applyBorder="1" applyAlignment="1">
      <alignment vertical="center"/>
    </xf>
    <xf numFmtId="182" fontId="56" fillId="2" borderId="16" xfId="0" applyNumberFormat="1" applyFont="1" applyFill="1" applyBorder="1" applyAlignment="1">
      <alignment vertical="center"/>
    </xf>
    <xf numFmtId="182" fontId="5" fillId="0" borderId="28" xfId="0" applyNumberFormat="1" applyFont="1" applyBorder="1" applyAlignment="1">
      <alignment vertical="center"/>
    </xf>
    <xf numFmtId="176" fontId="5" fillId="8" borderId="64" xfId="0" applyNumberFormat="1" applyFont="1" applyFill="1" applyBorder="1" applyAlignment="1">
      <alignment vertical="center"/>
    </xf>
    <xf numFmtId="176" fontId="5" fillId="0" borderId="64" xfId="0" applyNumberFormat="1" applyFont="1" applyFill="1" applyBorder="1" applyAlignment="1">
      <alignment vertical="center"/>
    </xf>
    <xf numFmtId="182" fontId="56" fillId="0" borderId="7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182" fontId="9" fillId="0" borderId="0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2" xfId="0" applyNumberFormat="1" applyFont="1" applyBorder="1" applyAlignment="1">
      <alignment horizontal="right" vertical="center"/>
    </xf>
    <xf numFmtId="0" fontId="9" fillId="0" borderId="26" xfId="0" applyFont="1" applyBorder="1" applyAlignment="1">
      <alignment vertical="center"/>
    </xf>
    <xf numFmtId="182" fontId="9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176" fontId="36" fillId="6" borderId="65" xfId="0" applyNumberFormat="1" applyFont="1" applyFill="1" applyBorder="1" applyAlignment="1">
      <alignment horizontal="right" vertical="center"/>
    </xf>
    <xf numFmtId="0" fontId="5" fillId="0" borderId="77" xfId="0" applyFont="1" applyBorder="1" applyAlignment="1">
      <alignment vertical="center"/>
    </xf>
    <xf numFmtId="0" fontId="5" fillId="0" borderId="59" xfId="0" applyFont="1" applyBorder="1" applyAlignment="1">
      <alignment vertical="center"/>
    </xf>
    <xf numFmtId="0" fontId="23" fillId="7" borderId="24" xfId="0" applyFont="1" applyFill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53" fillId="0" borderId="13" xfId="0" applyFont="1" applyBorder="1" applyAlignment="1">
      <alignment vertical="center"/>
    </xf>
    <xf numFmtId="41" fontId="53" fillId="0" borderId="13" xfId="1" applyFont="1" applyBorder="1" applyAlignment="1">
      <alignment vertical="center"/>
    </xf>
    <xf numFmtId="180" fontId="3" fillId="0" borderId="13" xfId="0" applyNumberFormat="1" applyFont="1" applyBorder="1" applyAlignment="1">
      <alignment vertical="center"/>
    </xf>
    <xf numFmtId="0" fontId="5" fillId="0" borderId="85" xfId="0" applyFont="1" applyBorder="1" applyAlignment="1">
      <alignment vertical="center"/>
    </xf>
    <xf numFmtId="182" fontId="5" fillId="2" borderId="73" xfId="1" applyNumberFormat="1" applyFont="1" applyFill="1" applyBorder="1" applyAlignment="1">
      <alignment vertical="center"/>
    </xf>
    <xf numFmtId="0" fontId="5" fillId="0" borderId="73" xfId="0" applyFont="1" applyBorder="1" applyAlignment="1">
      <alignment horizontal="center" vertical="center"/>
    </xf>
    <xf numFmtId="0" fontId="5" fillId="2" borderId="73" xfId="0" applyFont="1" applyFill="1" applyBorder="1" applyAlignment="1">
      <alignment vertical="center"/>
    </xf>
    <xf numFmtId="0" fontId="4" fillId="0" borderId="73" xfId="0" applyFont="1" applyBorder="1" applyAlignment="1">
      <alignment horizontal="center" vertical="center"/>
    </xf>
    <xf numFmtId="176" fontId="5" fillId="0" borderId="79" xfId="0" applyNumberFormat="1" applyFont="1" applyBorder="1" applyAlignment="1">
      <alignment vertical="center"/>
    </xf>
    <xf numFmtId="176" fontId="4" fillId="6" borderId="86" xfId="0" applyNumberFormat="1" applyFont="1" applyFill="1" applyBorder="1" applyAlignment="1">
      <alignment vertical="center"/>
    </xf>
    <xf numFmtId="0" fontId="69" fillId="0" borderId="106" xfId="0" applyFont="1" applyFill="1" applyBorder="1" applyAlignment="1">
      <alignment horizontal="center" vertical="center" wrapText="1"/>
    </xf>
    <xf numFmtId="0" fontId="69" fillId="0" borderId="107" xfId="0" applyFont="1" applyFill="1" applyBorder="1" applyAlignment="1">
      <alignment horizontal="center" vertical="center" wrapText="1"/>
    </xf>
    <xf numFmtId="0" fontId="69" fillId="0" borderId="108" xfId="0" applyFont="1" applyFill="1" applyBorder="1" applyAlignment="1">
      <alignment horizontal="center" vertical="center" wrapText="1"/>
    </xf>
    <xf numFmtId="0" fontId="67" fillId="0" borderId="109" xfId="0" applyFont="1" applyFill="1" applyBorder="1" applyAlignment="1">
      <alignment horizontal="left" vertical="center" wrapText="1"/>
    </xf>
    <xf numFmtId="0" fontId="67" fillId="0" borderId="110" xfId="0" applyFont="1" applyFill="1" applyBorder="1" applyAlignment="1">
      <alignment horizontal="left" vertical="center" wrapText="1"/>
    </xf>
    <xf numFmtId="0" fontId="67" fillId="0" borderId="111" xfId="0" applyFont="1" applyFill="1" applyBorder="1" applyAlignment="1">
      <alignment horizontal="left" vertical="center" wrapText="1"/>
    </xf>
    <xf numFmtId="0" fontId="67" fillId="0" borderId="13" xfId="0" applyFont="1" applyFill="1" applyBorder="1" applyAlignment="1">
      <alignment vertical="center" wrapText="1"/>
    </xf>
    <xf numFmtId="3" fontId="67" fillId="0" borderId="101" xfId="0" applyNumberFormat="1" applyFont="1" applyFill="1" applyBorder="1" applyAlignment="1">
      <alignment horizontal="right" vertical="center" wrapText="1"/>
    </xf>
    <xf numFmtId="0" fontId="67" fillId="0" borderId="102" xfId="0" applyFont="1" applyFill="1" applyBorder="1" applyAlignment="1">
      <alignment vertical="center" wrapText="1"/>
    </xf>
    <xf numFmtId="0" fontId="67" fillId="0" borderId="112" xfId="0" applyFont="1" applyFill="1" applyBorder="1" applyAlignment="1">
      <alignment horizontal="left" vertical="center" wrapText="1"/>
    </xf>
    <xf numFmtId="0" fontId="67" fillId="0" borderId="113" xfId="0" applyFont="1" applyFill="1" applyBorder="1" applyAlignment="1">
      <alignment horizontal="left" vertical="center" wrapText="1"/>
    </xf>
    <xf numFmtId="41" fontId="67" fillId="0" borderId="113" xfId="1" applyFont="1" applyFill="1" applyBorder="1" applyAlignment="1">
      <alignment horizontal="right" vertical="center" wrapText="1"/>
    </xf>
    <xf numFmtId="0" fontId="67" fillId="0" borderId="114" xfId="0" applyFont="1" applyFill="1" applyBorder="1" applyAlignment="1">
      <alignment horizontal="left" vertical="center" wrapText="1"/>
    </xf>
    <xf numFmtId="0" fontId="67" fillId="0" borderId="115" xfId="0" applyFont="1" applyFill="1" applyBorder="1" applyAlignment="1">
      <alignment horizontal="left" vertical="center" wrapText="1"/>
    </xf>
    <xf numFmtId="0" fontId="67" fillId="0" borderId="115" xfId="0" applyFont="1" applyFill="1" applyBorder="1" applyAlignment="1">
      <alignment horizontal="right" vertical="center" wrapText="1"/>
    </xf>
    <xf numFmtId="0" fontId="67" fillId="0" borderId="102" xfId="0" applyFont="1" applyFill="1" applyBorder="1" applyAlignment="1">
      <alignment horizontal="right" vertical="center" wrapText="1"/>
    </xf>
    <xf numFmtId="3" fontId="67" fillId="0" borderId="110" xfId="0" applyNumberFormat="1" applyFont="1" applyFill="1" applyBorder="1" applyAlignment="1">
      <alignment horizontal="right" vertical="center" wrapText="1"/>
    </xf>
    <xf numFmtId="0" fontId="67" fillId="0" borderId="116" xfId="0" applyFont="1" applyFill="1" applyBorder="1" applyAlignment="1">
      <alignment horizontal="left" vertical="center" wrapText="1"/>
    </xf>
    <xf numFmtId="0" fontId="67" fillId="0" borderId="117" xfId="0" applyFont="1" applyFill="1" applyBorder="1" applyAlignment="1">
      <alignment horizontal="left" vertical="center" wrapText="1"/>
    </xf>
    <xf numFmtId="3" fontId="67" fillId="0" borderId="117" xfId="0" applyNumberFormat="1" applyFont="1" applyFill="1" applyBorder="1" applyAlignment="1">
      <alignment horizontal="right" vertical="center" wrapText="1"/>
    </xf>
    <xf numFmtId="3" fontId="67" fillId="0" borderId="113" xfId="0" applyNumberFormat="1" applyFont="1" applyFill="1" applyBorder="1" applyAlignment="1">
      <alignment horizontal="right" vertical="center" wrapText="1"/>
    </xf>
    <xf numFmtId="0" fontId="67" fillId="0" borderId="118" xfId="0" applyFont="1" applyFill="1" applyBorder="1" applyAlignment="1">
      <alignment horizontal="left" vertical="center" wrapText="1"/>
    </xf>
    <xf numFmtId="0" fontId="67" fillId="0" borderId="106" xfId="0" applyFont="1" applyFill="1" applyBorder="1" applyAlignment="1">
      <alignment horizontal="left" vertical="center" wrapText="1"/>
    </xf>
    <xf numFmtId="49" fontId="67" fillId="0" borderId="106" xfId="0" applyNumberFormat="1" applyFont="1" applyFill="1" applyBorder="1" applyAlignment="1">
      <alignment horizontal="left" vertical="center" wrapText="1"/>
    </xf>
    <xf numFmtId="3" fontId="67" fillId="0" borderId="106" xfId="0" applyNumberFormat="1" applyFont="1" applyFill="1" applyBorder="1" applyAlignment="1">
      <alignment horizontal="right" vertical="center" wrapText="1"/>
    </xf>
    <xf numFmtId="3" fontId="70" fillId="0" borderId="119" xfId="0" applyNumberFormat="1" applyFont="1" applyFill="1" applyBorder="1" applyAlignment="1">
      <alignment horizontal="right" vertical="center" wrapText="1"/>
    </xf>
    <xf numFmtId="3" fontId="70" fillId="0" borderId="120" xfId="0" applyNumberFormat="1" applyFont="1" applyFill="1" applyBorder="1" applyAlignment="1">
      <alignment horizontal="right" vertical="center" wrapText="1"/>
    </xf>
    <xf numFmtId="3" fontId="70" fillId="0" borderId="121" xfId="0" applyNumberFormat="1" applyFont="1" applyFill="1" applyBorder="1" applyAlignment="1">
      <alignment horizontal="right" vertical="center" wrapText="1"/>
    </xf>
    <xf numFmtId="0" fontId="25" fillId="0" borderId="0" xfId="0" applyFont="1" applyBorder="1" applyAlignment="1">
      <alignment horizontal="left"/>
    </xf>
    <xf numFmtId="179" fontId="5" fillId="0" borderId="1" xfId="0" applyNumberFormat="1" applyFont="1" applyBorder="1" applyAlignment="1">
      <alignment horizontal="right" vertical="top" wrapText="1" shrinkToFit="1"/>
    </xf>
    <xf numFmtId="179" fontId="4" fillId="0" borderId="23" xfId="0" applyNumberFormat="1" applyFont="1" applyBorder="1" applyAlignment="1">
      <alignment horizontal="right" vertical="center"/>
    </xf>
    <xf numFmtId="179" fontId="5" fillId="0" borderId="1" xfId="0" applyNumberFormat="1" applyFont="1" applyBorder="1" applyAlignment="1">
      <alignment horizontal="right" vertical="center"/>
    </xf>
    <xf numFmtId="179" fontId="5" fillId="0" borderId="2" xfId="0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right" vertical="center"/>
    </xf>
    <xf numFmtId="179" fontId="12" fillId="0" borderId="17" xfId="0" applyNumberFormat="1" applyFont="1" applyBorder="1" applyAlignment="1">
      <alignment horizontal="right" vertical="center" shrinkToFit="1"/>
    </xf>
    <xf numFmtId="179" fontId="12" fillId="0" borderId="14" xfId="0" applyNumberFormat="1" applyFont="1" applyBorder="1" applyAlignment="1">
      <alignment horizontal="right" vertical="center"/>
    </xf>
    <xf numFmtId="179" fontId="5" fillId="0" borderId="17" xfId="0" applyNumberFormat="1" applyFont="1" applyBorder="1" applyAlignment="1">
      <alignment horizontal="right" vertical="center"/>
    </xf>
    <xf numFmtId="179" fontId="5" fillId="0" borderId="14" xfId="0" applyNumberFormat="1" applyFont="1" applyBorder="1" applyAlignment="1">
      <alignment horizontal="right" vertical="center"/>
    </xf>
    <xf numFmtId="179" fontId="5" fillId="0" borderId="2" xfId="0" applyNumberFormat="1" applyFont="1" applyBorder="1" applyAlignment="1">
      <alignment horizontal="right" vertical="center" wrapText="1"/>
    </xf>
    <xf numFmtId="179" fontId="5" fillId="0" borderId="1" xfId="0" applyNumberFormat="1" applyFont="1" applyBorder="1" applyAlignment="1">
      <alignment horizontal="right" vertical="center" wrapText="1"/>
    </xf>
    <xf numFmtId="179" fontId="5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179" fontId="5" fillId="0" borderId="31" xfId="0" applyNumberFormat="1" applyFont="1" applyBorder="1" applyAlignment="1">
      <alignment horizontal="right" vertical="center"/>
    </xf>
    <xf numFmtId="179" fontId="5" fillId="0" borderId="13" xfId="0" applyNumberFormat="1" applyFont="1" applyBorder="1" applyAlignment="1">
      <alignment horizontal="right" vertical="center"/>
    </xf>
    <xf numFmtId="179" fontId="5" fillId="0" borderId="33" xfId="0" applyNumberFormat="1" applyFont="1" applyBorder="1" applyAlignment="1">
      <alignment horizontal="right" vertical="center"/>
    </xf>
    <xf numFmtId="179" fontId="7" fillId="0" borderId="22" xfId="0" applyNumberFormat="1" applyFont="1" applyBorder="1" applyAlignment="1">
      <alignment horizontal="right" vertical="center"/>
    </xf>
    <xf numFmtId="179" fontId="7" fillId="0" borderId="23" xfId="0" applyNumberFormat="1" applyFont="1" applyBorder="1" applyAlignment="1">
      <alignment horizontal="right" vertical="center"/>
    </xf>
    <xf numFmtId="179" fontId="9" fillId="0" borderId="1" xfId="0" applyNumberFormat="1" applyFont="1" applyBorder="1" applyAlignment="1">
      <alignment horizontal="right" vertical="center"/>
    </xf>
    <xf numFmtId="179" fontId="9" fillId="0" borderId="2" xfId="0" applyNumberFormat="1" applyFont="1" applyBorder="1" applyAlignment="1">
      <alignment horizontal="right" vertical="center"/>
    </xf>
    <xf numFmtId="179" fontId="4" fillId="0" borderId="74" xfId="0" applyNumberFormat="1" applyFont="1" applyBorder="1" applyAlignment="1">
      <alignment horizontal="right" vertical="center"/>
    </xf>
    <xf numFmtId="179" fontId="4" fillId="0" borderId="22" xfId="0" applyNumberFormat="1" applyFont="1" applyBorder="1" applyAlignment="1">
      <alignment horizontal="right" vertical="center"/>
    </xf>
    <xf numFmtId="179" fontId="5" fillId="0" borderId="32" xfId="0" applyNumberFormat="1" applyFont="1" applyBorder="1" applyAlignment="1">
      <alignment horizontal="right" vertical="center"/>
    </xf>
    <xf numFmtId="179" fontId="5" fillId="0" borderId="75" xfId="0" applyNumberFormat="1" applyFont="1" applyBorder="1" applyAlignment="1">
      <alignment horizontal="right" vertical="center"/>
    </xf>
    <xf numFmtId="179" fontId="4" fillId="0" borderId="76" xfId="0" applyNumberFormat="1" applyFont="1" applyBorder="1" applyAlignment="1">
      <alignment horizontal="right" vertical="center"/>
    </xf>
    <xf numFmtId="179" fontId="4" fillId="0" borderId="70" xfId="0" applyNumberFormat="1" applyFont="1" applyBorder="1" applyAlignment="1">
      <alignment horizontal="right" vertical="center"/>
    </xf>
    <xf numFmtId="179" fontId="5" fillId="0" borderId="22" xfId="0" applyNumberFormat="1" applyFont="1" applyBorder="1" applyAlignment="1">
      <alignment horizontal="right" vertical="top"/>
    </xf>
    <xf numFmtId="179" fontId="5" fillId="0" borderId="32" xfId="0" applyNumberFormat="1" applyFont="1" applyBorder="1" applyAlignment="1">
      <alignment horizontal="right" vertical="top"/>
    </xf>
    <xf numFmtId="179" fontId="5" fillId="0" borderId="78" xfId="0" applyNumberFormat="1" applyFont="1" applyBorder="1" applyAlignment="1">
      <alignment horizontal="right" vertical="top"/>
    </xf>
    <xf numFmtId="179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176" fontId="7" fillId="7" borderId="63" xfId="1" applyNumberFormat="1" applyFont="1" applyFill="1" applyBorder="1" applyAlignment="1">
      <alignment vertical="center"/>
    </xf>
    <xf numFmtId="176" fontId="27" fillId="6" borderId="62" xfId="0" applyNumberFormat="1" applyFont="1" applyFill="1" applyBorder="1" applyAlignment="1">
      <alignment horizontal="right" vertical="center"/>
    </xf>
    <xf numFmtId="176" fontId="4" fillId="6" borderId="63" xfId="0" applyNumberFormat="1" applyFont="1" applyFill="1" applyBorder="1" applyAlignment="1">
      <alignment vertical="center"/>
    </xf>
    <xf numFmtId="176" fontId="4" fillId="6" borderId="62" xfId="0" applyNumberFormat="1" applyFont="1" applyFill="1" applyBorder="1" applyAlignment="1">
      <alignment vertical="center"/>
    </xf>
    <xf numFmtId="0" fontId="5" fillId="0" borderId="27" xfId="0" applyFont="1" applyBorder="1" applyAlignment="1">
      <alignment vertical="center" wrapText="1"/>
    </xf>
    <xf numFmtId="0" fontId="5" fillId="4" borderId="0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9" fillId="0" borderId="27" xfId="0" applyFont="1" applyBorder="1" applyAlignment="1">
      <alignment horizontal="left" vertical="center"/>
    </xf>
    <xf numFmtId="182" fontId="9" fillId="2" borderId="12" xfId="0" applyNumberFormat="1" applyFont="1" applyFill="1" applyBorder="1" applyAlignment="1">
      <alignment vertical="center"/>
    </xf>
    <xf numFmtId="0" fontId="9" fillId="2" borderId="9" xfId="0" applyFont="1" applyFill="1" applyBorder="1" applyAlignment="1">
      <alignment horizontal="right" vertical="center"/>
    </xf>
    <xf numFmtId="0" fontId="9" fillId="2" borderId="9" xfId="0" applyFont="1" applyFill="1" applyBorder="1" applyAlignment="1">
      <alignment vertical="center"/>
    </xf>
    <xf numFmtId="176" fontId="4" fillId="6" borderId="82" xfId="0" applyNumberFormat="1" applyFont="1" applyFill="1" applyBorder="1" applyAlignment="1">
      <alignment horizontal="right" vertical="center"/>
    </xf>
    <xf numFmtId="176" fontId="0" fillId="0" borderId="13" xfId="0" applyNumberFormat="1" applyBorder="1" applyAlignment="1">
      <alignment vertical="center"/>
    </xf>
    <xf numFmtId="41" fontId="0" fillId="0" borderId="0" xfId="0" applyNumberFormat="1"/>
    <xf numFmtId="0" fontId="20" fillId="0" borderId="0" xfId="0" applyFont="1" applyAlignment="1">
      <alignment horizontal="center" vertical="center"/>
    </xf>
    <xf numFmtId="41" fontId="58" fillId="0" borderId="13" xfId="1" applyFont="1" applyBorder="1" applyAlignment="1">
      <alignment horizontal="left" vertical="center"/>
    </xf>
    <xf numFmtId="41" fontId="54" fillId="0" borderId="89" xfId="1" applyFont="1" applyFill="1" applyBorder="1" applyAlignment="1" applyProtection="1">
      <alignment horizontal="center" vertical="center" shrinkToFit="1"/>
      <protection hidden="1"/>
    </xf>
    <xf numFmtId="0" fontId="25" fillId="0" borderId="90" xfId="0" applyFont="1" applyBorder="1" applyAlignment="1">
      <alignment horizontal="right"/>
    </xf>
    <xf numFmtId="0" fontId="25" fillId="0" borderId="48" xfId="0" applyFont="1" applyBorder="1"/>
    <xf numFmtId="0" fontId="25" fillId="0" borderId="91" xfId="0" applyFont="1" applyBorder="1"/>
    <xf numFmtId="41" fontId="0" fillId="0" borderId="92" xfId="1" applyFont="1" applyFill="1" applyBorder="1" applyAlignment="1">
      <alignment horizontal="center" vertical="center"/>
    </xf>
    <xf numFmtId="41" fontId="0" fillId="0" borderId="74" xfId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49" fontId="9" fillId="0" borderId="11" xfId="0" applyNumberFormat="1" applyFont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27" fillId="0" borderId="62" xfId="0" applyNumberFormat="1" applyFont="1" applyFill="1" applyBorder="1" applyAlignment="1">
      <alignment horizontal="right" vertical="center"/>
    </xf>
    <xf numFmtId="176" fontId="27" fillId="0" borderId="80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76" fontId="5" fillId="0" borderId="62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80" fontId="0" fillId="0" borderId="18" xfId="0" applyNumberFormat="1" applyBorder="1" applyAlignment="1">
      <alignment vertical="center"/>
    </xf>
    <xf numFmtId="180" fontId="0" fillId="0" borderId="24" xfId="0" applyNumberFormat="1" applyBorder="1" applyAlignment="1">
      <alignment vertical="center"/>
    </xf>
    <xf numFmtId="0" fontId="73" fillId="0" borderId="0" xfId="0" applyFont="1" applyAlignment="1">
      <alignment horizontal="center" vertical="center"/>
    </xf>
    <xf numFmtId="0" fontId="73" fillId="0" borderId="0" xfId="0" applyFont="1" applyAlignment="1">
      <alignment vertical="center"/>
    </xf>
    <xf numFmtId="41" fontId="58" fillId="0" borderId="13" xfId="1" applyFont="1" applyBorder="1" applyAlignment="1">
      <alignment horizontal="left" vertical="center"/>
    </xf>
    <xf numFmtId="43" fontId="3" fillId="0" borderId="0" xfId="0" applyNumberFormat="1" applyFont="1" applyAlignment="1">
      <alignment vertical="center"/>
    </xf>
    <xf numFmtId="41" fontId="0" fillId="0" borderId="0" xfId="0" applyNumberFormat="1" applyFill="1" applyAlignment="1">
      <alignment horizontal="center"/>
    </xf>
    <xf numFmtId="41" fontId="4" fillId="0" borderId="2" xfId="0" applyNumberFormat="1" applyFont="1" applyBorder="1" applyAlignment="1">
      <alignment vertical="center"/>
    </xf>
    <xf numFmtId="41" fontId="4" fillId="0" borderId="14" xfId="0" applyNumberFormat="1" applyFont="1" applyBorder="1" applyAlignment="1">
      <alignment vertical="center"/>
    </xf>
    <xf numFmtId="41" fontId="4" fillId="0" borderId="57" xfId="0" applyNumberFormat="1" applyFont="1" applyBorder="1" applyAlignment="1">
      <alignment vertical="center"/>
    </xf>
    <xf numFmtId="41" fontId="4" fillId="0" borderId="36" xfId="0" applyNumberFormat="1" applyFont="1" applyBorder="1" applyAlignment="1">
      <alignment vertical="center"/>
    </xf>
    <xf numFmtId="41" fontId="4" fillId="0" borderId="13" xfId="0" applyNumberFormat="1" applyFont="1" applyBorder="1" applyAlignment="1">
      <alignment vertical="center"/>
    </xf>
    <xf numFmtId="41" fontId="4" fillId="0" borderId="24" xfId="0" applyNumberFormat="1" applyFont="1" applyBorder="1" applyAlignment="1">
      <alignment vertical="center"/>
    </xf>
    <xf numFmtId="41" fontId="5" fillId="0" borderId="1" xfId="0" applyNumberFormat="1" applyFont="1" applyBorder="1" applyAlignment="1">
      <alignment horizontal="right" vertical="top"/>
    </xf>
    <xf numFmtId="41" fontId="5" fillId="0" borderId="1" xfId="0" applyNumberFormat="1" applyFont="1" applyBorder="1" applyAlignment="1">
      <alignment vertical="top"/>
    </xf>
    <xf numFmtId="41" fontId="5" fillId="0" borderId="2" xfId="0" applyNumberFormat="1" applyFont="1" applyBorder="1" applyAlignment="1">
      <alignment vertical="top"/>
    </xf>
    <xf numFmtId="41" fontId="5" fillId="0" borderId="4" xfId="0" applyNumberFormat="1" applyFont="1" applyBorder="1" applyAlignment="1">
      <alignment vertical="top"/>
    </xf>
    <xf numFmtId="41" fontId="5" fillId="0" borderId="1" xfId="0" applyNumberFormat="1" applyFont="1" applyBorder="1" applyAlignment="1">
      <alignment vertical="center"/>
    </xf>
    <xf numFmtId="41" fontId="5" fillId="0" borderId="5" xfId="0" applyNumberFormat="1" applyFont="1" applyBorder="1" applyAlignment="1">
      <alignment vertical="center"/>
    </xf>
    <xf numFmtId="41" fontId="5" fillId="0" borderId="2" xfId="0" applyNumberFormat="1" applyFont="1" applyBorder="1" applyAlignment="1">
      <alignment vertical="center"/>
    </xf>
    <xf numFmtId="41" fontId="5" fillId="0" borderId="4" xfId="0" applyNumberFormat="1" applyFont="1" applyBorder="1" applyAlignment="1">
      <alignment vertical="center"/>
    </xf>
    <xf numFmtId="41" fontId="12" fillId="0" borderId="1" xfId="0" applyNumberFormat="1" applyFont="1" applyBorder="1" applyAlignment="1">
      <alignment horizontal="right" vertical="center"/>
    </xf>
    <xf numFmtId="41" fontId="12" fillId="0" borderId="17" xfId="0" applyNumberFormat="1" applyFont="1" applyBorder="1" applyAlignment="1">
      <alignment horizontal="right" vertical="center"/>
    </xf>
    <xf numFmtId="41" fontId="12" fillId="0" borderId="2" xfId="0" applyNumberFormat="1" applyFont="1" applyBorder="1" applyAlignment="1">
      <alignment horizontal="right" vertical="center"/>
    </xf>
    <xf numFmtId="41" fontId="5" fillId="0" borderId="17" xfId="0" applyNumberFormat="1" applyFont="1" applyBorder="1" applyAlignment="1">
      <alignment vertical="center"/>
    </xf>
    <xf numFmtId="41" fontId="5" fillId="0" borderId="14" xfId="0" applyNumberFormat="1" applyFont="1" applyBorder="1" applyAlignment="1">
      <alignment vertical="center"/>
    </xf>
    <xf numFmtId="41" fontId="4" fillId="0" borderId="6" xfId="0" applyNumberFormat="1" applyFont="1" applyBorder="1" applyAlignment="1">
      <alignment vertical="center"/>
    </xf>
    <xf numFmtId="41" fontId="5" fillId="0" borderId="31" xfId="0" applyNumberFormat="1" applyFont="1" applyBorder="1" applyAlignment="1">
      <alignment vertical="center"/>
    </xf>
    <xf numFmtId="41" fontId="5" fillId="0" borderId="13" xfId="0" applyNumberFormat="1" applyFont="1" applyBorder="1" applyAlignment="1">
      <alignment vertical="center"/>
    </xf>
    <xf numFmtId="41" fontId="5" fillId="0" borderId="33" xfId="0" applyNumberFormat="1" applyFont="1" applyBorder="1" applyAlignment="1">
      <alignment vertical="center"/>
    </xf>
    <xf numFmtId="41" fontId="7" fillId="0" borderId="4" xfId="0" applyNumberFormat="1" applyFont="1" applyBorder="1" applyAlignment="1">
      <alignment vertical="center"/>
    </xf>
    <xf numFmtId="41" fontId="7" fillId="0" borderId="13" xfId="0" applyNumberFormat="1" applyFont="1" applyBorder="1" applyAlignment="1">
      <alignment vertical="center"/>
    </xf>
    <xf numFmtId="41" fontId="9" fillId="0" borderId="1" xfId="0" applyNumberFormat="1" applyFont="1" applyBorder="1" applyAlignment="1">
      <alignment vertical="center"/>
    </xf>
    <xf numFmtId="41" fontId="9" fillId="0" borderId="2" xfId="0" applyNumberFormat="1" applyFont="1" applyBorder="1" applyAlignment="1">
      <alignment vertical="center"/>
    </xf>
    <xf numFmtId="41" fontId="12" fillId="0" borderId="2" xfId="0" applyNumberFormat="1" applyFont="1" applyBorder="1" applyAlignment="1">
      <alignment vertical="center"/>
    </xf>
    <xf numFmtId="41" fontId="5" fillId="0" borderId="70" xfId="0" applyNumberFormat="1" applyFont="1" applyBorder="1" applyAlignment="1">
      <alignment vertical="center"/>
    </xf>
    <xf numFmtId="41" fontId="4" fillId="0" borderId="70" xfId="0" applyNumberFormat="1" applyFont="1" applyBorder="1" applyAlignment="1">
      <alignment vertical="center"/>
    </xf>
    <xf numFmtId="41" fontId="5" fillId="0" borderId="24" xfId="0" applyNumberFormat="1" applyFont="1" applyBorder="1" applyAlignment="1">
      <alignment vertical="center"/>
    </xf>
    <xf numFmtId="41" fontId="4" fillId="0" borderId="77" xfId="0" applyNumberFormat="1" applyFont="1" applyBorder="1" applyAlignment="1">
      <alignment vertical="center"/>
    </xf>
    <xf numFmtId="41" fontId="5" fillId="0" borderId="17" xfId="0" applyNumberFormat="1" applyFont="1" applyBorder="1" applyAlignment="1">
      <alignment horizontal="right" vertical="top"/>
    </xf>
    <xf numFmtId="41" fontId="5" fillId="0" borderId="31" xfId="0" applyNumberFormat="1" applyFont="1" applyBorder="1" applyAlignment="1">
      <alignment horizontal="right" vertical="top"/>
    </xf>
    <xf numFmtId="41" fontId="4" fillId="0" borderId="4" xfId="0" applyNumberFormat="1" applyFont="1" applyBorder="1" applyAlignment="1">
      <alignment vertical="center"/>
    </xf>
    <xf numFmtId="41" fontId="5" fillId="0" borderId="35" xfId="0" applyNumberFormat="1" applyFont="1" applyBorder="1" applyAlignment="1">
      <alignment vertical="center"/>
    </xf>
    <xf numFmtId="41" fontId="7" fillId="0" borderId="57" xfId="0" applyNumberFormat="1" applyFont="1" applyBorder="1" applyAlignment="1">
      <alignment vertical="center"/>
    </xf>
    <xf numFmtId="41" fontId="4" fillId="0" borderId="36" xfId="0" applyNumberFormat="1" applyFont="1" applyBorder="1" applyAlignment="1">
      <alignment horizontal="right" vertical="center"/>
    </xf>
    <xf numFmtId="41" fontId="4" fillId="0" borderId="24" xfId="0" applyNumberFormat="1" applyFont="1" applyBorder="1" applyAlignment="1">
      <alignment horizontal="right" vertical="center"/>
    </xf>
    <xf numFmtId="41" fontId="0" fillId="0" borderId="0" xfId="0" applyNumberFormat="1" applyAlignment="1">
      <alignment vertical="center"/>
    </xf>
    <xf numFmtId="41" fontId="4" fillId="0" borderId="1" xfId="0" applyNumberFormat="1" applyFont="1" applyBorder="1" applyAlignment="1">
      <alignment vertical="center"/>
    </xf>
    <xf numFmtId="41" fontId="4" fillId="0" borderId="17" xfId="0" applyNumberFormat="1" applyFont="1" applyBorder="1" applyAlignment="1">
      <alignment horizontal="right" vertical="center"/>
    </xf>
    <xf numFmtId="41" fontId="4" fillId="0" borderId="13" xfId="0" applyNumberFormat="1" applyFont="1" applyBorder="1" applyAlignment="1">
      <alignment horizontal="right" vertical="center"/>
    </xf>
    <xf numFmtId="41" fontId="4" fillId="0" borderId="18" xfId="0" applyNumberFormat="1" applyFont="1" applyBorder="1" applyAlignment="1">
      <alignment horizontal="right" vertical="center"/>
    </xf>
    <xf numFmtId="41" fontId="5" fillId="0" borderId="18" xfId="0" applyNumberFormat="1" applyFont="1" applyBorder="1" applyAlignment="1">
      <alignment horizontal="right" vertical="center"/>
    </xf>
    <xf numFmtId="41" fontId="5" fillId="0" borderId="24" xfId="0" applyNumberFormat="1" applyFont="1" applyBorder="1" applyAlignment="1">
      <alignment horizontal="right" vertical="center"/>
    </xf>
    <xf numFmtId="41" fontId="5" fillId="0" borderId="2" xfId="0" applyNumberFormat="1" applyFont="1" applyBorder="1" applyAlignment="1">
      <alignment horizontal="right" vertical="top"/>
    </xf>
    <xf numFmtId="41" fontId="3" fillId="0" borderId="0" xfId="0" applyNumberFormat="1" applyFont="1" applyAlignment="1">
      <alignment horizontal="right" vertical="top"/>
    </xf>
    <xf numFmtId="41" fontId="3" fillId="0" borderId="0" xfId="0" applyNumberFormat="1" applyFont="1" applyAlignment="1">
      <alignment horizontal="center" vertical="center"/>
    </xf>
    <xf numFmtId="182" fontId="9" fillId="2" borderId="29" xfId="0" applyNumberFormat="1" applyFont="1" applyFill="1" applyBorder="1" applyAlignment="1">
      <alignment vertical="center"/>
    </xf>
    <xf numFmtId="41" fontId="9" fillId="2" borderId="29" xfId="1" applyFont="1" applyFill="1" applyBorder="1" applyAlignment="1">
      <alignment vertical="center"/>
    </xf>
    <xf numFmtId="0" fontId="9" fillId="2" borderId="29" xfId="0" applyFont="1" applyFill="1" applyBorder="1" applyAlignment="1">
      <alignment vertical="center"/>
    </xf>
    <xf numFmtId="0" fontId="7" fillId="0" borderId="29" xfId="0" applyFont="1" applyBorder="1" applyAlignment="1">
      <alignment horizontal="center" vertical="center"/>
    </xf>
    <xf numFmtId="176" fontId="9" fillId="0" borderId="64" xfId="0" applyNumberFormat="1" applyFont="1" applyFill="1" applyBorder="1" applyAlignment="1">
      <alignment vertical="center"/>
    </xf>
    <xf numFmtId="176" fontId="63" fillId="9" borderId="72" xfId="1" applyNumberFormat="1" applyFont="1" applyFill="1" applyBorder="1" applyAlignment="1">
      <alignment vertical="center"/>
    </xf>
    <xf numFmtId="176" fontId="3" fillId="0" borderId="0" xfId="0" applyNumberFormat="1" applyFont="1" applyAlignment="1">
      <alignment vertical="center"/>
    </xf>
    <xf numFmtId="41" fontId="76" fillId="0" borderId="86" xfId="1" applyFont="1" applyBorder="1" applyAlignment="1">
      <alignment vertical="center"/>
    </xf>
    <xf numFmtId="176" fontId="77" fillId="6" borderId="43" xfId="0" applyNumberFormat="1" applyFont="1" applyFill="1" applyBorder="1" applyAlignment="1">
      <alignment vertical="center"/>
    </xf>
    <xf numFmtId="176" fontId="77" fillId="6" borderId="83" xfId="0" applyNumberFormat="1" applyFont="1" applyFill="1" applyBorder="1" applyAlignment="1">
      <alignment vertical="center"/>
    </xf>
    <xf numFmtId="176" fontId="77" fillId="8" borderId="43" xfId="0" applyNumberFormat="1" applyFont="1" applyFill="1" applyBorder="1" applyAlignment="1">
      <alignment vertical="center"/>
    </xf>
    <xf numFmtId="176" fontId="77" fillId="0" borderId="83" xfId="1" applyNumberFormat="1" applyFont="1" applyFill="1" applyBorder="1" applyAlignment="1">
      <alignment vertical="center"/>
    </xf>
    <xf numFmtId="176" fontId="77" fillId="6" borderId="83" xfId="1" applyNumberFormat="1" applyFont="1" applyFill="1" applyBorder="1" applyAlignment="1">
      <alignment vertical="center"/>
    </xf>
    <xf numFmtId="176" fontId="77" fillId="6" borderId="71" xfId="1" applyNumberFormat="1" applyFont="1" applyFill="1" applyBorder="1" applyAlignment="1">
      <alignment vertical="center"/>
    </xf>
    <xf numFmtId="41" fontId="7" fillId="8" borderId="57" xfId="0" applyNumberFormat="1" applyFont="1" applyFill="1" applyBorder="1" applyAlignment="1">
      <alignment vertical="center"/>
    </xf>
    <xf numFmtId="41" fontId="4" fillId="8" borderId="36" xfId="0" applyNumberFormat="1" applyFont="1" applyFill="1" applyBorder="1" applyAlignment="1">
      <alignment horizontal="right" vertical="center"/>
    </xf>
    <xf numFmtId="41" fontId="7" fillId="8" borderId="13" xfId="0" applyNumberFormat="1" applyFont="1" applyFill="1" applyBorder="1" applyAlignment="1">
      <alignment vertical="center"/>
    </xf>
    <xf numFmtId="41" fontId="4" fillId="8" borderId="24" xfId="0" applyNumberFormat="1" applyFont="1" applyFill="1" applyBorder="1" applyAlignment="1">
      <alignment horizontal="right" vertical="center"/>
    </xf>
    <xf numFmtId="41" fontId="4" fillId="0" borderId="2" xfId="0" applyNumberFormat="1" applyFont="1" applyBorder="1" applyAlignment="1">
      <alignment horizontal="center" vertical="center"/>
    </xf>
    <xf numFmtId="41" fontId="4" fillId="0" borderId="57" xfId="0" applyNumberFormat="1" applyFont="1" applyBorder="1" applyAlignment="1">
      <alignment horizontal="left" vertical="center"/>
    </xf>
    <xf numFmtId="41" fontId="4" fillId="0" borderId="23" xfId="0" applyNumberFormat="1" applyFont="1" applyBorder="1" applyAlignment="1">
      <alignment horizontal="left" vertical="center"/>
    </xf>
    <xf numFmtId="41" fontId="5" fillId="0" borderId="1" xfId="0" applyNumberFormat="1" applyFont="1" applyBorder="1" applyAlignment="1">
      <alignment horizontal="center" vertical="top" wrapText="1" shrinkToFit="1"/>
    </xf>
    <xf numFmtId="41" fontId="12" fillId="0" borderId="17" xfId="0" applyNumberFormat="1" applyFont="1" applyBorder="1" applyAlignment="1">
      <alignment vertical="center" shrinkToFit="1"/>
    </xf>
    <xf numFmtId="41" fontId="12" fillId="0" borderId="14" xfId="0" applyNumberFormat="1" applyFont="1" applyBorder="1" applyAlignment="1">
      <alignment vertical="center"/>
    </xf>
    <xf numFmtId="41" fontId="5" fillId="0" borderId="2" xfId="0" applyNumberFormat="1" applyFont="1" applyBorder="1" applyAlignment="1">
      <alignment vertical="center" wrapText="1"/>
    </xf>
    <xf numFmtId="41" fontId="5" fillId="0" borderId="1" xfId="0" applyNumberFormat="1" applyFont="1" applyBorder="1" applyAlignment="1">
      <alignment vertical="center" wrapText="1"/>
    </xf>
    <xf numFmtId="41" fontId="5" fillId="0" borderId="3" xfId="0" applyNumberFormat="1" applyFont="1" applyBorder="1" applyAlignment="1">
      <alignment vertical="center"/>
    </xf>
    <xf numFmtId="41" fontId="5" fillId="0" borderId="31" xfId="0" applyNumberFormat="1" applyFont="1" applyBorder="1" applyAlignment="1">
      <alignment horizontal="center" vertical="center"/>
    </xf>
    <xf numFmtId="41" fontId="4" fillId="0" borderId="13" xfId="0" applyNumberFormat="1" applyFont="1" applyBorder="1" applyAlignment="1">
      <alignment horizontal="left" vertical="center"/>
    </xf>
    <xf numFmtId="41" fontId="7" fillId="0" borderId="22" xfId="0" applyNumberFormat="1" applyFont="1" applyBorder="1" applyAlignment="1">
      <alignment horizontal="left" vertical="center"/>
    </xf>
    <xf numFmtId="41" fontId="7" fillId="0" borderId="23" xfId="0" applyNumberFormat="1" applyFont="1" applyBorder="1" applyAlignment="1">
      <alignment horizontal="left" vertical="center"/>
    </xf>
    <xf numFmtId="41" fontId="4" fillId="0" borderId="74" xfId="0" applyNumberFormat="1" applyFont="1" applyBorder="1" applyAlignment="1">
      <alignment horizontal="left" vertical="center"/>
    </xf>
    <xf numFmtId="41" fontId="4" fillId="0" borderId="22" xfId="0" applyNumberFormat="1" applyFont="1" applyBorder="1" applyAlignment="1">
      <alignment horizontal="left" vertical="center"/>
    </xf>
    <xf numFmtId="41" fontId="5" fillId="0" borderId="32" xfId="0" applyNumberFormat="1" applyFont="1" applyBorder="1" applyAlignment="1">
      <alignment vertical="center"/>
    </xf>
    <xf numFmtId="41" fontId="5" fillId="0" borderId="75" xfId="0" applyNumberFormat="1" applyFont="1" applyBorder="1" applyAlignment="1">
      <alignment vertical="center"/>
    </xf>
    <xf numFmtId="41" fontId="4" fillId="0" borderId="76" xfId="0" applyNumberFormat="1" applyFont="1" applyBorder="1" applyAlignment="1">
      <alignment horizontal="left" vertical="center"/>
    </xf>
    <xf numFmtId="41" fontId="5" fillId="0" borderId="13" xfId="0" applyNumberFormat="1" applyFont="1" applyBorder="1" applyAlignment="1">
      <alignment horizontal="left" vertical="center"/>
    </xf>
    <xf numFmtId="41" fontId="4" fillId="0" borderId="70" xfId="0" applyNumberFormat="1" applyFont="1" applyBorder="1" applyAlignment="1">
      <alignment horizontal="left" vertical="center"/>
    </xf>
    <xf numFmtId="41" fontId="5" fillId="0" borderId="2" xfId="0" applyNumberFormat="1" applyFont="1" applyBorder="1" applyAlignment="1">
      <alignment horizontal="left" vertical="top"/>
    </xf>
    <xf numFmtId="41" fontId="5" fillId="0" borderId="22" xfId="0" applyNumberFormat="1" applyFont="1" applyBorder="1" applyAlignment="1">
      <alignment horizontal="left" vertical="top"/>
    </xf>
    <xf numFmtId="41" fontId="5" fillId="0" borderId="32" xfId="0" applyNumberFormat="1" applyFont="1" applyBorder="1" applyAlignment="1">
      <alignment horizontal="left" vertical="top"/>
    </xf>
    <xf numFmtId="41" fontId="5" fillId="0" borderId="78" xfId="0" applyNumberFormat="1" applyFont="1" applyBorder="1" applyAlignment="1">
      <alignment horizontal="left" vertical="top"/>
    </xf>
    <xf numFmtId="41" fontId="7" fillId="0" borderId="57" xfId="0" applyNumberFormat="1" applyFont="1" applyBorder="1" applyAlignment="1">
      <alignment horizontal="right" vertical="center"/>
    </xf>
    <xf numFmtId="41" fontId="7" fillId="0" borderId="13" xfId="0" applyNumberFormat="1" applyFont="1" applyBorder="1" applyAlignment="1">
      <alignment horizontal="right" vertical="center"/>
    </xf>
    <xf numFmtId="41" fontId="0" fillId="0" borderId="0" xfId="0" applyNumberFormat="1" applyAlignment="1">
      <alignment horizontal="center"/>
    </xf>
    <xf numFmtId="41" fontId="26" fillId="0" borderId="0" xfId="0" applyNumberFormat="1" applyFont="1" applyFill="1" applyBorder="1" applyAlignment="1">
      <alignment vertical="center"/>
    </xf>
    <xf numFmtId="0" fontId="71" fillId="0" borderId="32" xfId="0" applyFont="1" applyFill="1" applyBorder="1" applyAlignment="1">
      <alignment horizontal="center" vertical="center" shrinkToFit="1"/>
    </xf>
    <xf numFmtId="41" fontId="71" fillId="0" borderId="1" xfId="1" applyFont="1" applyFill="1" applyBorder="1" applyAlignment="1">
      <alignment horizontal="center" vertical="center" shrinkToFit="1"/>
    </xf>
    <xf numFmtId="41" fontId="71" fillId="0" borderId="17" xfId="1" applyFont="1" applyFill="1" applyBorder="1" applyAlignment="1">
      <alignment horizontal="center" vertical="center" shrinkToFit="1"/>
    </xf>
    <xf numFmtId="41" fontId="71" fillId="0" borderId="53" xfId="1" applyFont="1" applyFill="1" applyBorder="1" applyAlignment="1">
      <alignment horizontal="center" vertical="center" shrinkToFit="1"/>
    </xf>
    <xf numFmtId="41" fontId="0" fillId="0" borderId="32" xfId="1" applyFont="1" applyFill="1" applyBorder="1" applyAlignment="1">
      <alignment horizontal="center" vertical="center"/>
    </xf>
    <xf numFmtId="41" fontId="0" fillId="0" borderId="87" xfId="1" applyFont="1" applyFill="1" applyBorder="1" applyAlignment="1">
      <alignment horizontal="center" vertical="center"/>
    </xf>
    <xf numFmtId="41" fontId="0" fillId="0" borderId="78" xfId="1" applyFont="1" applyBorder="1"/>
    <xf numFmtId="41" fontId="0" fillId="0" borderId="135" xfId="1" applyFont="1" applyBorder="1"/>
    <xf numFmtId="41" fontId="71" fillId="0" borderId="136" xfId="1" applyFont="1" applyFill="1" applyBorder="1" applyAlignment="1" applyProtection="1">
      <alignment horizontal="center" vertical="center" shrinkToFit="1"/>
      <protection hidden="1"/>
    </xf>
    <xf numFmtId="41" fontId="71" fillId="0" borderId="137" xfId="1" applyFont="1" applyFill="1" applyBorder="1" applyAlignment="1" applyProtection="1">
      <alignment horizontal="center" vertical="center" shrinkToFit="1"/>
      <protection hidden="1"/>
    </xf>
    <xf numFmtId="41" fontId="71" fillId="0" borderId="134" xfId="1" applyFont="1" applyFill="1" applyBorder="1" applyAlignment="1" applyProtection="1">
      <alignment horizontal="center" vertical="center" shrinkToFit="1"/>
      <protection hidden="1"/>
    </xf>
    <xf numFmtId="41" fontId="71" fillId="0" borderId="137" xfId="0" applyNumberFormat="1" applyFont="1" applyFill="1" applyBorder="1" applyAlignment="1" applyProtection="1">
      <alignment horizontal="center" vertical="center" shrinkToFit="1"/>
      <protection hidden="1"/>
    </xf>
    <xf numFmtId="41" fontId="71" fillId="0" borderId="137" xfId="0" applyNumberFormat="1" applyFont="1" applyBorder="1" applyAlignment="1" applyProtection="1">
      <alignment horizontal="center" vertical="center" shrinkToFit="1"/>
      <protection hidden="1"/>
    </xf>
    <xf numFmtId="41" fontId="71" fillId="0" borderId="138" xfId="0" applyNumberFormat="1" applyFont="1" applyBorder="1" applyAlignment="1" applyProtection="1">
      <alignment horizontal="center" vertical="center" shrinkToFit="1"/>
      <protection hidden="1"/>
    </xf>
    <xf numFmtId="41" fontId="71" fillId="0" borderId="138" xfId="1" applyFont="1" applyFill="1" applyBorder="1" applyAlignment="1" applyProtection="1">
      <alignment horizontal="center" vertical="center" shrinkToFit="1"/>
      <protection hidden="1"/>
    </xf>
    <xf numFmtId="41" fontId="71" fillId="0" borderId="139" xfId="0" applyNumberFormat="1" applyFont="1" applyFill="1" applyBorder="1" applyAlignment="1" applyProtection="1">
      <alignment horizontal="center" vertical="center" shrinkToFit="1"/>
      <protection hidden="1"/>
    </xf>
    <xf numFmtId="41" fontId="71" fillId="0" borderId="141" xfId="0" applyNumberFormat="1" applyFont="1" applyFill="1" applyBorder="1" applyAlignment="1" applyProtection="1">
      <alignment horizontal="center" vertical="center" shrinkToFit="1"/>
      <protection hidden="1"/>
    </xf>
    <xf numFmtId="41" fontId="71" fillId="0" borderId="136" xfId="0" applyNumberFormat="1" applyFont="1" applyBorder="1" applyAlignment="1" applyProtection="1">
      <alignment horizontal="center" vertical="center" shrinkToFit="1"/>
      <protection hidden="1"/>
    </xf>
    <xf numFmtId="41" fontId="71" fillId="0" borderId="142" xfId="0" applyNumberFormat="1" applyFont="1" applyBorder="1" applyAlignment="1" applyProtection="1">
      <alignment horizontal="center" vertical="center" shrinkToFit="1"/>
      <protection hidden="1"/>
    </xf>
    <xf numFmtId="0" fontId="71" fillId="0" borderId="143" xfId="0" quotePrefix="1" applyFont="1" applyFill="1" applyBorder="1" applyAlignment="1" applyProtection="1">
      <alignment horizontal="center" vertical="center" shrinkToFit="1"/>
      <protection hidden="1"/>
    </xf>
    <xf numFmtId="0" fontId="71" fillId="0" borderId="144" xfId="0" quotePrefix="1" applyFont="1" applyBorder="1" applyAlignment="1" applyProtection="1">
      <alignment horizontal="center" vertical="center" shrinkToFit="1"/>
      <protection hidden="1"/>
    </xf>
    <xf numFmtId="0" fontId="71" fillId="0" borderId="145" xfId="0" quotePrefix="1" applyFont="1" applyBorder="1" applyAlignment="1" applyProtection="1">
      <alignment horizontal="center" vertical="center" shrinkToFit="1"/>
      <protection hidden="1"/>
    </xf>
    <xf numFmtId="0" fontId="71" fillId="0" borderId="143" xfId="0" applyFont="1" applyFill="1" applyBorder="1" applyAlignment="1">
      <alignment horizontal="center" vertical="center"/>
    </xf>
    <xf numFmtId="0" fontId="71" fillId="0" borderId="144" xfId="0" applyFont="1" applyFill="1" applyBorder="1" applyAlignment="1">
      <alignment horizontal="center" vertical="center"/>
    </xf>
    <xf numFmtId="0" fontId="71" fillId="0" borderId="145" xfId="0" applyFont="1" applyFill="1" applyBorder="1" applyAlignment="1">
      <alignment horizontal="center" vertical="center"/>
    </xf>
    <xf numFmtId="41" fontId="71" fillId="0" borderId="146" xfId="1" applyFont="1" applyFill="1" applyBorder="1" applyAlignment="1" applyProtection="1">
      <alignment horizontal="center" vertical="center" shrinkToFit="1"/>
      <protection hidden="1"/>
    </xf>
    <xf numFmtId="41" fontId="0" fillId="0" borderId="134" xfId="1" applyFont="1" applyBorder="1" applyAlignment="1">
      <alignment horizontal="center" vertical="center"/>
    </xf>
    <xf numFmtId="41" fontId="0" fillId="0" borderId="147" xfId="1" applyFont="1" applyBorder="1" applyAlignment="1">
      <alignment horizontal="center" vertical="center"/>
    </xf>
    <xf numFmtId="41" fontId="0" fillId="0" borderId="134" xfId="1" applyFont="1" applyFill="1" applyBorder="1" applyAlignment="1">
      <alignment horizontal="center" vertical="center"/>
    </xf>
    <xf numFmtId="41" fontId="71" fillId="0" borderId="147" xfId="1" applyFont="1" applyFill="1" applyBorder="1" applyAlignment="1" applyProtection="1">
      <alignment horizontal="center" vertical="center" shrinkToFit="1"/>
      <protection hidden="1"/>
    </xf>
    <xf numFmtId="0" fontId="72" fillId="0" borderId="148" xfId="0" quotePrefix="1" applyFont="1" applyBorder="1" applyAlignment="1" applyProtection="1">
      <alignment horizontal="center" vertical="center" shrinkToFit="1"/>
      <protection hidden="1"/>
    </xf>
    <xf numFmtId="41" fontId="54" fillId="0" borderId="45" xfId="1" applyFont="1" applyFill="1" applyBorder="1" applyAlignment="1" applyProtection="1">
      <alignment horizontal="center" vertical="center" shrinkToFit="1"/>
      <protection hidden="1"/>
    </xf>
    <xf numFmtId="0" fontId="72" fillId="0" borderId="140" xfId="0" quotePrefix="1" applyFont="1" applyBorder="1" applyAlignment="1" applyProtection="1">
      <alignment horizontal="center" vertical="center" shrinkToFit="1"/>
      <protection hidden="1"/>
    </xf>
    <xf numFmtId="0" fontId="9" fillId="10" borderId="8" xfId="0" applyFont="1" applyFill="1" applyBorder="1" applyAlignment="1">
      <alignment horizontal="right" vertical="center"/>
    </xf>
    <xf numFmtId="3" fontId="9" fillId="10" borderId="5" xfId="0" applyNumberFormat="1" applyFont="1" applyFill="1" applyBorder="1" applyAlignment="1">
      <alignment vertical="center"/>
    </xf>
    <xf numFmtId="3" fontId="9" fillId="10" borderId="8" xfId="0" applyNumberFormat="1" applyFont="1" applyFill="1" applyBorder="1" applyAlignment="1">
      <alignment vertical="center"/>
    </xf>
    <xf numFmtId="3" fontId="9" fillId="10" borderId="29" xfId="0" applyNumberFormat="1" applyFont="1" applyFill="1" applyBorder="1" applyAlignment="1">
      <alignment vertical="center"/>
    </xf>
    <xf numFmtId="3" fontId="9" fillId="10" borderId="24" xfId="0" applyNumberFormat="1" applyFont="1" applyFill="1" applyBorder="1" applyAlignment="1">
      <alignment vertical="center"/>
    </xf>
    <xf numFmtId="3" fontId="63" fillId="10" borderId="15" xfId="0" applyNumberFormat="1" applyFont="1" applyFill="1" applyBorder="1" applyAlignment="1">
      <alignment vertical="center"/>
    </xf>
    <xf numFmtId="3" fontId="9" fillId="10" borderId="15" xfId="0" applyNumberFormat="1" applyFont="1" applyFill="1" applyBorder="1" applyAlignment="1">
      <alignment vertical="center"/>
    </xf>
    <xf numFmtId="3" fontId="9" fillId="10" borderId="6" xfId="0" applyNumberFormat="1" applyFont="1" applyFill="1" applyBorder="1" applyAlignment="1">
      <alignment vertical="center"/>
    </xf>
    <xf numFmtId="3" fontId="9" fillId="10" borderId="7" xfId="0" applyNumberFormat="1" applyFont="1" applyFill="1" applyBorder="1" applyAlignment="1">
      <alignment vertical="center"/>
    </xf>
    <xf numFmtId="3" fontId="9" fillId="10" borderId="14" xfId="0" applyNumberFormat="1" applyFont="1" applyFill="1" applyBorder="1" applyAlignment="1">
      <alignment vertical="center"/>
    </xf>
    <xf numFmtId="3" fontId="9" fillId="10" borderId="72" xfId="0" applyNumberFormat="1" applyFont="1" applyFill="1" applyBorder="1" applyAlignment="1">
      <alignment vertical="center"/>
    </xf>
    <xf numFmtId="0" fontId="9" fillId="10" borderId="7" xfId="0" applyFont="1" applyFill="1" applyBorder="1" applyAlignment="1">
      <alignment horizontal="right" vertical="center"/>
    </xf>
    <xf numFmtId="0" fontId="56" fillId="10" borderId="8" xfId="0" applyFont="1" applyFill="1" applyBorder="1" applyAlignment="1">
      <alignment horizontal="right" vertical="center"/>
    </xf>
    <xf numFmtId="0" fontId="9" fillId="10" borderId="6" xfId="0" applyFont="1" applyFill="1" applyBorder="1" applyAlignment="1">
      <alignment horizontal="right" vertical="center"/>
    </xf>
    <xf numFmtId="0" fontId="9" fillId="10" borderId="5" xfId="0" applyFont="1" applyFill="1" applyBorder="1" applyAlignment="1">
      <alignment horizontal="right" vertical="center"/>
    </xf>
    <xf numFmtId="0" fontId="9" fillId="10" borderId="16" xfId="0" applyFont="1" applyFill="1" applyBorder="1" applyAlignment="1">
      <alignment horizontal="right" vertical="center"/>
    </xf>
    <xf numFmtId="0" fontId="9" fillId="10" borderId="0" xfId="0" applyFont="1" applyFill="1" applyBorder="1" applyAlignment="1">
      <alignment horizontal="right" vertical="center"/>
    </xf>
    <xf numFmtId="0" fontId="9" fillId="10" borderId="73" xfId="0" applyFont="1" applyFill="1" applyBorder="1" applyAlignment="1">
      <alignment horizontal="right" vertical="center"/>
    </xf>
    <xf numFmtId="0" fontId="50" fillId="10" borderId="7" xfId="0" applyFont="1" applyFill="1" applyBorder="1" applyAlignment="1">
      <alignment vertical="center"/>
    </xf>
    <xf numFmtId="0" fontId="50" fillId="10" borderId="8" xfId="0" applyFont="1" applyFill="1" applyBorder="1" applyAlignment="1">
      <alignment vertical="center"/>
    </xf>
    <xf numFmtId="0" fontId="50" fillId="10" borderId="9" xfId="0" applyFont="1" applyFill="1" applyBorder="1" applyAlignment="1">
      <alignment vertical="center"/>
    </xf>
    <xf numFmtId="0" fontId="50" fillId="10" borderId="0" xfId="0" applyFont="1" applyFill="1" applyBorder="1" applyAlignment="1">
      <alignment vertical="center"/>
    </xf>
    <xf numFmtId="0" fontId="50" fillId="10" borderId="5" xfId="0" applyFont="1" applyFill="1" applyBorder="1" applyAlignment="1">
      <alignment vertical="center"/>
    </xf>
    <xf numFmtId="0" fontId="50" fillId="10" borderId="16" xfId="0" applyFont="1" applyFill="1" applyBorder="1" applyAlignment="1">
      <alignment vertical="center"/>
    </xf>
    <xf numFmtId="0" fontId="50" fillId="10" borderId="6" xfId="0" applyFont="1" applyFill="1" applyBorder="1" applyAlignment="1">
      <alignment vertical="center"/>
    </xf>
    <xf numFmtId="0" fontId="50" fillId="10" borderId="73" xfId="0" applyFont="1" applyFill="1" applyBorder="1" applyAlignment="1">
      <alignment vertical="center"/>
    </xf>
    <xf numFmtId="3" fontId="9" fillId="0" borderId="14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50" fillId="0" borderId="0" xfId="0" applyFont="1" applyFill="1" applyBorder="1" applyAlignment="1">
      <alignment vertical="center"/>
    </xf>
    <xf numFmtId="176" fontId="9" fillId="0" borderId="73" xfId="1" applyNumberFormat="1" applyFont="1" applyFill="1" applyBorder="1" applyAlignment="1">
      <alignment horizontal="right" vertical="center"/>
    </xf>
    <xf numFmtId="176" fontId="9" fillId="0" borderId="18" xfId="1" applyNumberFormat="1" applyFont="1" applyFill="1" applyBorder="1" applyAlignment="1">
      <alignment horizontal="right" vertical="center"/>
    </xf>
    <xf numFmtId="3" fontId="56" fillId="0" borderId="10" xfId="0" applyNumberFormat="1" applyFont="1" applyFill="1" applyBorder="1" applyAlignment="1">
      <alignment vertical="center"/>
    </xf>
    <xf numFmtId="3" fontId="9" fillId="0" borderId="11" xfId="0" applyNumberFormat="1" applyFont="1" applyFill="1" applyBorder="1" applyAlignment="1">
      <alignment vertical="center"/>
    </xf>
    <xf numFmtId="0" fontId="12" fillId="0" borderId="7" xfId="0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vertical="center"/>
    </xf>
    <xf numFmtId="0" fontId="12" fillId="0" borderId="16" xfId="0" applyFont="1" applyFill="1" applyBorder="1" applyAlignment="1">
      <alignment horizontal="right" vertical="center"/>
    </xf>
    <xf numFmtId="0" fontId="50" fillId="0" borderId="5" xfId="0" applyFont="1" applyFill="1" applyBorder="1" applyAlignment="1">
      <alignment vertical="center"/>
    </xf>
    <xf numFmtId="0" fontId="50" fillId="0" borderId="8" xfId="0" applyFont="1" applyFill="1" applyBorder="1" applyAlignment="1">
      <alignment vertical="center"/>
    </xf>
    <xf numFmtId="0" fontId="50" fillId="0" borderId="16" xfId="0" applyFont="1" applyFill="1" applyBorder="1" applyAlignment="1">
      <alignment vertical="center"/>
    </xf>
    <xf numFmtId="3" fontId="9" fillId="0" borderId="12" xfId="0" applyNumberFormat="1" applyFont="1" applyFill="1" applyBorder="1" applyAlignment="1">
      <alignment vertical="center"/>
    </xf>
    <xf numFmtId="3" fontId="9" fillId="0" borderId="18" xfId="0" applyNumberFormat="1" applyFont="1" applyFill="1" applyBorder="1" applyAlignment="1">
      <alignment vertical="center"/>
    </xf>
    <xf numFmtId="176" fontId="9" fillId="0" borderId="73" xfId="1" applyNumberFormat="1" applyFont="1" applyFill="1" applyBorder="1" applyAlignment="1">
      <alignment vertical="center"/>
    </xf>
    <xf numFmtId="41" fontId="4" fillId="0" borderId="1" xfId="0" applyNumberFormat="1" applyFont="1" applyBorder="1" applyAlignment="1">
      <alignment horizontal="right" vertical="center"/>
    </xf>
    <xf numFmtId="41" fontId="4" fillId="0" borderId="57" xfId="0" applyNumberFormat="1" applyFont="1" applyBorder="1" applyAlignment="1">
      <alignment horizontal="right" vertical="center"/>
    </xf>
    <xf numFmtId="41" fontId="4" fillId="0" borderId="23" xfId="0" applyNumberFormat="1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vertical="top" wrapText="1"/>
    </xf>
    <xf numFmtId="41" fontId="5" fillId="0" borderId="2" xfId="0" applyNumberFormat="1" applyFont="1" applyBorder="1" applyAlignment="1">
      <alignment vertical="top" wrapText="1"/>
    </xf>
    <xf numFmtId="41" fontId="7" fillId="0" borderId="4" xfId="0" applyNumberFormat="1" applyFont="1" applyBorder="1" applyAlignment="1">
      <alignment horizontal="right" vertical="center"/>
    </xf>
    <xf numFmtId="41" fontId="0" fillId="0" borderId="97" xfId="1" applyFont="1" applyFill="1" applyBorder="1" applyAlignment="1">
      <alignment horizontal="center" vertical="center"/>
    </xf>
    <xf numFmtId="0" fontId="71" fillId="0" borderId="149" xfId="0" quotePrefix="1" applyFont="1" applyFill="1" applyBorder="1" applyAlignment="1" applyProtection="1">
      <alignment horizontal="center" vertical="center" shrinkToFit="1"/>
      <protection hidden="1"/>
    </xf>
    <xf numFmtId="41" fontId="71" fillId="0" borderId="150" xfId="0" applyNumberFormat="1" applyFont="1" applyFill="1" applyBorder="1" applyAlignment="1" applyProtection="1">
      <alignment horizontal="center" vertical="center" shrinkToFit="1"/>
      <protection hidden="1"/>
    </xf>
    <xf numFmtId="41" fontId="71" fillId="0" borderId="151" xfId="0" applyNumberFormat="1" applyFont="1" applyFill="1" applyBorder="1" applyAlignment="1" applyProtection="1">
      <alignment horizontal="center" vertical="center" shrinkToFit="1"/>
      <protection hidden="1"/>
    </xf>
    <xf numFmtId="0" fontId="71" fillId="0" borderId="149" xfId="0" applyFont="1" applyFill="1" applyBorder="1" applyAlignment="1">
      <alignment horizontal="center" vertical="center"/>
    </xf>
    <xf numFmtId="41" fontId="71" fillId="0" borderId="152" xfId="1" applyFont="1" applyFill="1" applyBorder="1" applyAlignment="1" applyProtection="1">
      <alignment horizontal="center" vertical="center" shrinkToFit="1"/>
      <protection hidden="1"/>
    </xf>
    <xf numFmtId="41" fontId="71" fillId="0" borderId="153" xfId="1" applyFont="1" applyFill="1" applyBorder="1" applyAlignment="1" applyProtection="1">
      <alignment horizontal="center" vertical="center" shrinkToFit="1"/>
      <protection hidden="1"/>
    </xf>
    <xf numFmtId="41" fontId="71" fillId="0" borderId="154" xfId="1" applyFont="1" applyFill="1" applyBorder="1" applyAlignment="1" applyProtection="1">
      <alignment horizontal="center" vertical="center" shrinkToFit="1"/>
      <protection hidden="1"/>
    </xf>
    <xf numFmtId="41" fontId="71" fillId="0" borderId="92" xfId="1" applyFont="1" applyFill="1" applyBorder="1" applyAlignment="1" applyProtection="1">
      <alignment horizontal="center" vertical="center" shrinkToFit="1"/>
      <protection hidden="1"/>
    </xf>
    <xf numFmtId="41" fontId="71" fillId="0" borderId="155" xfId="1" applyFont="1" applyFill="1" applyBorder="1" applyAlignment="1" applyProtection="1">
      <alignment horizontal="center" vertical="center" shrinkToFit="1"/>
      <protection hidden="1"/>
    </xf>
    <xf numFmtId="0" fontId="9" fillId="8" borderId="8" xfId="0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  <xf numFmtId="41" fontId="54" fillId="0" borderId="156" xfId="1" applyFont="1" applyFill="1" applyBorder="1" applyAlignment="1" applyProtection="1">
      <alignment horizontal="center" vertical="center" shrinkToFit="1"/>
      <protection hidden="1"/>
    </xf>
    <xf numFmtId="41" fontId="71" fillId="0" borderId="157" xfId="1" applyFont="1" applyFill="1" applyBorder="1" applyAlignment="1" applyProtection="1">
      <alignment horizontal="center" vertical="center" shrinkToFit="1"/>
      <protection hidden="1"/>
    </xf>
    <xf numFmtId="41" fontId="71" fillId="0" borderId="145" xfId="1" applyFont="1" applyFill="1" applyBorder="1" applyAlignment="1" applyProtection="1">
      <alignment horizontal="center" vertical="center" shrinkToFit="1"/>
      <protection hidden="1"/>
    </xf>
    <xf numFmtId="41" fontId="33" fillId="5" borderId="33" xfId="0" applyNumberFormat="1" applyFont="1" applyFill="1" applyBorder="1" applyAlignment="1">
      <alignment horizontal="center" vertical="center"/>
    </xf>
    <xf numFmtId="41" fontId="33" fillId="5" borderId="38" xfId="0" applyNumberFormat="1" applyFont="1" applyFill="1" applyBorder="1" applyAlignment="1">
      <alignment horizontal="center" vertical="center"/>
    </xf>
    <xf numFmtId="176" fontId="33" fillId="0" borderId="39" xfId="0" applyNumberFormat="1" applyFont="1" applyBorder="1" applyAlignment="1">
      <alignment horizontal="center" vertical="center" wrapText="1"/>
    </xf>
    <xf numFmtId="41" fontId="78" fillId="0" borderId="57" xfId="1" applyNumberFormat="1" applyFont="1" applyBorder="1" applyAlignment="1">
      <alignment vertical="center"/>
    </xf>
    <xf numFmtId="41" fontId="78" fillId="0" borderId="57" xfId="0" applyNumberFormat="1" applyFont="1" applyBorder="1" applyAlignment="1">
      <alignment vertical="center"/>
    </xf>
    <xf numFmtId="41" fontId="78" fillId="0" borderId="36" xfId="1" applyNumberFormat="1" applyFont="1" applyBorder="1" applyAlignment="1">
      <alignment vertical="center"/>
    </xf>
    <xf numFmtId="41" fontId="33" fillId="0" borderId="39" xfId="0" applyNumberFormat="1" applyFont="1" applyBorder="1" applyAlignment="1">
      <alignment horizontal="center" vertical="center"/>
    </xf>
    <xf numFmtId="41" fontId="78" fillId="0" borderId="58" xfId="0" applyNumberFormat="1" applyFont="1" applyBorder="1" applyAlignment="1">
      <alignment vertical="center"/>
    </xf>
    <xf numFmtId="176" fontId="33" fillId="0" borderId="40" xfId="0" applyNumberFormat="1" applyFont="1" applyBorder="1" applyAlignment="1">
      <alignment horizontal="center" vertical="center" wrapText="1"/>
    </xf>
    <xf numFmtId="41" fontId="78" fillId="0" borderId="4" xfId="1" applyNumberFormat="1" applyFont="1" applyBorder="1" applyAlignment="1">
      <alignment vertical="center"/>
    </xf>
    <xf numFmtId="41" fontId="78" fillId="0" borderId="4" xfId="0" applyNumberFormat="1" applyFont="1" applyBorder="1" applyAlignment="1">
      <alignment vertical="center"/>
    </xf>
    <xf numFmtId="41" fontId="78" fillId="0" borderId="13" xfId="0" applyNumberFormat="1" applyFont="1" applyBorder="1" applyAlignment="1">
      <alignment vertical="center"/>
    </xf>
    <xf numFmtId="41" fontId="78" fillId="0" borderId="18" xfId="1" applyNumberFormat="1" applyFont="1" applyBorder="1" applyAlignment="1">
      <alignment vertical="center"/>
    </xf>
    <xf numFmtId="41" fontId="33" fillId="0" borderId="40" xfId="0" applyNumberFormat="1" applyFont="1" applyBorder="1" applyAlignment="1">
      <alignment horizontal="center" vertical="center"/>
    </xf>
    <xf numFmtId="41" fontId="78" fillId="0" borderId="56" xfId="0" applyNumberFormat="1" applyFont="1" applyBorder="1" applyAlignment="1">
      <alignment vertical="center"/>
    </xf>
    <xf numFmtId="41" fontId="33" fillId="0" borderId="40" xfId="0" applyNumberFormat="1" applyFont="1" applyBorder="1" applyAlignment="1">
      <alignment horizontal="center" vertical="center" wrapText="1"/>
    </xf>
    <xf numFmtId="176" fontId="33" fillId="0" borderId="61" xfId="0" applyNumberFormat="1" applyFont="1" applyBorder="1" applyAlignment="1">
      <alignment horizontal="center" vertical="center" wrapText="1"/>
    </xf>
    <xf numFmtId="41" fontId="78" fillId="0" borderId="2" xfId="0" applyNumberFormat="1" applyFont="1" applyBorder="1" applyAlignment="1">
      <alignment vertical="center"/>
    </xf>
    <xf numFmtId="41" fontId="78" fillId="0" borderId="14" xfId="1" applyNumberFormat="1" applyFont="1" applyBorder="1" applyAlignment="1">
      <alignment vertical="center"/>
    </xf>
    <xf numFmtId="41" fontId="33" fillId="0" borderId="61" xfId="0" applyNumberFormat="1" applyFont="1" applyBorder="1" applyAlignment="1">
      <alignment horizontal="center" vertical="center"/>
    </xf>
    <xf numFmtId="41" fontId="78" fillId="0" borderId="2" xfId="1" applyNumberFormat="1" applyFont="1" applyBorder="1" applyAlignment="1">
      <alignment vertical="center"/>
    </xf>
    <xf numFmtId="41" fontId="78" fillId="0" borderId="1" xfId="0" applyNumberFormat="1" applyFont="1" applyBorder="1" applyAlignment="1">
      <alignment vertical="center"/>
    </xf>
    <xf numFmtId="41" fontId="78" fillId="0" borderId="87" xfId="0" applyNumberFormat="1" applyFont="1" applyBorder="1" applyAlignment="1">
      <alignment vertical="center"/>
    </xf>
    <xf numFmtId="176" fontId="33" fillId="0" borderId="41" xfId="0" applyNumberFormat="1" applyFont="1" applyBorder="1" applyAlignment="1">
      <alignment horizontal="center" vertical="center" wrapText="1"/>
    </xf>
    <xf numFmtId="41" fontId="78" fillId="0" borderId="33" xfId="0" applyNumberFormat="1" applyFont="1" applyBorder="1" applyAlignment="1">
      <alignment vertical="center"/>
    </xf>
    <xf numFmtId="41" fontId="78" fillId="0" borderId="38" xfId="1" applyNumberFormat="1" applyFont="1" applyBorder="1" applyAlignment="1">
      <alignment vertical="center"/>
    </xf>
    <xf numFmtId="41" fontId="33" fillId="0" borderId="41" xfId="0" applyNumberFormat="1" applyFont="1" applyBorder="1" applyAlignment="1">
      <alignment horizontal="center" vertical="center"/>
    </xf>
    <xf numFmtId="41" fontId="78" fillId="0" borderId="33" xfId="1" applyNumberFormat="1" applyFont="1" applyBorder="1" applyAlignment="1">
      <alignment vertical="center"/>
    </xf>
    <xf numFmtId="41" fontId="78" fillId="0" borderId="38" xfId="0" applyNumberFormat="1" applyFont="1" applyBorder="1" applyAlignment="1">
      <alignment vertical="center"/>
    </xf>
    <xf numFmtId="182" fontId="5" fillId="2" borderId="7" xfId="0" applyNumberFormat="1" applyFont="1" applyFill="1" applyBorder="1" applyAlignment="1">
      <alignment vertical="center"/>
    </xf>
    <xf numFmtId="182" fontId="63" fillId="11" borderId="17" xfId="1" applyNumberFormat="1" applyFont="1" applyFill="1" applyBorder="1" applyAlignment="1">
      <alignment horizontal="right" vertical="center"/>
    </xf>
    <xf numFmtId="182" fontId="5" fillId="11" borderId="8" xfId="0" applyNumberFormat="1" applyFont="1" applyFill="1" applyBorder="1" applyAlignment="1">
      <alignment vertical="center"/>
    </xf>
    <xf numFmtId="0" fontId="4" fillId="0" borderId="45" xfId="0" applyFont="1" applyBorder="1" applyAlignment="1">
      <alignment horizontal="center" vertical="center"/>
    </xf>
    <xf numFmtId="41" fontId="5" fillId="0" borderId="18" xfId="0" applyNumberFormat="1" applyFont="1" applyBorder="1" applyAlignment="1">
      <alignment vertical="center"/>
    </xf>
    <xf numFmtId="0" fontId="5" fillId="0" borderId="158" xfId="0" applyFont="1" applyBorder="1" applyAlignment="1">
      <alignment vertical="center"/>
    </xf>
    <xf numFmtId="0" fontId="5" fillId="0" borderId="159" xfId="0" applyFont="1" applyBorder="1" applyAlignment="1">
      <alignment vertical="center"/>
    </xf>
    <xf numFmtId="0" fontId="5" fillId="0" borderId="160" xfId="0" applyFont="1" applyBorder="1" applyAlignment="1">
      <alignment vertical="center"/>
    </xf>
    <xf numFmtId="0" fontId="17" fillId="0" borderId="0" xfId="6" applyFont="1" applyAlignment="1">
      <alignment horizontal="center" vertical="center"/>
    </xf>
    <xf numFmtId="0" fontId="16" fillId="0" borderId="0" xfId="6" applyFont="1" applyBorder="1" applyAlignment="1">
      <alignment horizontal="center" vertical="center"/>
    </xf>
    <xf numFmtId="0" fontId="16" fillId="0" borderId="0" xfId="6" applyFont="1" applyBorder="1" applyAlignment="1">
      <alignment horizontal="left" vertical="center"/>
    </xf>
    <xf numFmtId="0" fontId="20" fillId="0" borderId="0" xfId="7" applyFont="1" applyAlignment="1">
      <alignment horizontal="center" vertical="center"/>
    </xf>
    <xf numFmtId="0" fontId="30" fillId="0" borderId="42" xfId="7" applyFont="1" applyBorder="1" applyAlignment="1">
      <alignment horizontal="left" vertical="top"/>
    </xf>
    <xf numFmtId="0" fontId="30" fillId="0" borderId="0" xfId="7" applyFont="1" applyBorder="1" applyAlignment="1">
      <alignment horizontal="left" vertical="top"/>
    </xf>
    <xf numFmtId="0" fontId="30" fillId="0" borderId="0" xfId="7" applyFont="1" applyBorder="1" applyAlignment="1">
      <alignment horizontal="left" vertical="center"/>
    </xf>
    <xf numFmtId="0" fontId="30" fillId="0" borderId="42" xfId="7" applyFont="1" applyBorder="1" applyAlignment="1">
      <alignment horizontal="right" vertical="center"/>
    </xf>
    <xf numFmtId="0" fontId="30" fillId="0" borderId="0" xfId="7" applyFont="1" applyBorder="1" applyAlignment="1">
      <alignment horizontal="right" vertical="center"/>
    </xf>
    <xf numFmtId="0" fontId="30" fillId="0" borderId="43" xfId="7" applyFont="1" applyBorder="1" applyAlignment="1">
      <alignment horizontal="left" vertical="center"/>
    </xf>
    <xf numFmtId="0" fontId="33" fillId="0" borderId="94" xfId="7" applyFont="1" applyBorder="1" applyAlignment="1">
      <alignment horizontal="left"/>
    </xf>
    <xf numFmtId="0" fontId="33" fillId="0" borderId="59" xfId="7" applyFont="1" applyBorder="1" applyAlignment="1">
      <alignment horizontal="left"/>
    </xf>
    <xf numFmtId="0" fontId="37" fillId="0" borderId="59" xfId="0" applyFont="1" applyBorder="1" applyAlignment="1">
      <alignment horizontal="center"/>
    </xf>
    <xf numFmtId="0" fontId="33" fillId="0" borderId="59" xfId="0" applyFont="1" applyBorder="1" applyAlignment="1">
      <alignment horizontal="left"/>
    </xf>
    <xf numFmtId="0" fontId="33" fillId="0" borderId="86" xfId="0" applyFont="1" applyBorder="1" applyAlignment="1">
      <alignment horizontal="left"/>
    </xf>
    <xf numFmtId="0" fontId="18" fillId="0" borderId="0" xfId="7" applyFont="1" applyAlignment="1">
      <alignment horizontal="left" vertical="center"/>
    </xf>
    <xf numFmtId="0" fontId="30" fillId="0" borderId="42" xfId="7" applyFont="1" applyBorder="1" applyAlignment="1">
      <alignment vertical="center"/>
    </xf>
    <xf numFmtId="0" fontId="30" fillId="0" borderId="0" xfId="7" applyFont="1" applyBorder="1" applyAlignment="1">
      <alignment vertical="center"/>
    </xf>
    <xf numFmtId="41" fontId="25" fillId="0" borderId="0" xfId="0" applyNumberFormat="1" applyFont="1" applyAlignment="1">
      <alignment horizontal="right"/>
    </xf>
    <xf numFmtId="0" fontId="33" fillId="5" borderId="94" xfId="0" applyFont="1" applyFill="1" applyBorder="1" applyAlignment="1">
      <alignment horizontal="center" vertical="center"/>
    </xf>
    <xf numFmtId="0" fontId="33" fillId="5" borderId="59" xfId="0" applyFont="1" applyFill="1" applyBorder="1" applyAlignment="1">
      <alignment horizontal="center" vertical="center"/>
    </xf>
    <xf numFmtId="0" fontId="33" fillId="5" borderId="86" xfId="0" applyFont="1" applyFill="1" applyBorder="1" applyAlignment="1">
      <alignment horizontal="center" vertical="center"/>
    </xf>
    <xf numFmtId="41" fontId="33" fillId="5" borderId="94" xfId="0" applyNumberFormat="1" applyFont="1" applyFill="1" applyBorder="1" applyAlignment="1">
      <alignment horizontal="center" vertical="center"/>
    </xf>
    <xf numFmtId="41" fontId="33" fillId="5" borderId="59" xfId="0" applyNumberFormat="1" applyFont="1" applyFill="1" applyBorder="1" applyAlignment="1">
      <alignment horizontal="center" vertical="center"/>
    </xf>
    <xf numFmtId="41" fontId="33" fillId="5" borderId="86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1" fontId="54" fillId="0" borderId="45" xfId="1" applyNumberFormat="1" applyFont="1" applyBorder="1" applyAlignment="1">
      <alignment horizontal="right"/>
    </xf>
    <xf numFmtId="0" fontId="25" fillId="0" borderId="45" xfId="0" applyFont="1" applyBorder="1" applyAlignment="1">
      <alignment horizontal="left"/>
    </xf>
    <xf numFmtId="41" fontId="33" fillId="5" borderId="60" xfId="0" applyNumberFormat="1" applyFont="1" applyFill="1" applyBorder="1" applyAlignment="1">
      <alignment horizontal="center" vertical="center"/>
    </xf>
    <xf numFmtId="41" fontId="33" fillId="5" borderId="81" xfId="0" applyNumberFormat="1" applyFont="1" applyFill="1" applyBorder="1" applyAlignment="1">
      <alignment horizontal="center" vertical="center"/>
    </xf>
    <xf numFmtId="41" fontId="33" fillId="5" borderId="1" xfId="0" applyNumberFormat="1" applyFont="1" applyFill="1" applyBorder="1" applyAlignment="1">
      <alignment horizontal="center" vertical="center" wrapText="1"/>
    </xf>
    <xf numFmtId="41" fontId="33" fillId="5" borderId="31" xfId="0" applyNumberFormat="1" applyFont="1" applyFill="1" applyBorder="1" applyAlignment="1">
      <alignment horizontal="center" vertical="center"/>
    </xf>
    <xf numFmtId="41" fontId="33" fillId="5" borderId="24" xfId="0" applyNumberFormat="1" applyFont="1" applyFill="1" applyBorder="1" applyAlignment="1">
      <alignment horizontal="center" vertical="center"/>
    </xf>
    <xf numFmtId="41" fontId="33" fillId="5" borderId="80" xfId="0" applyNumberFormat="1" applyFont="1" applyFill="1" applyBorder="1" applyAlignment="1">
      <alignment horizontal="center" vertical="center"/>
    </xf>
    <xf numFmtId="0" fontId="33" fillId="5" borderId="60" xfId="0" applyFont="1" applyFill="1" applyBorder="1" applyAlignment="1">
      <alignment horizontal="center" vertical="center"/>
    </xf>
    <xf numFmtId="0" fontId="33" fillId="5" borderId="81" xfId="0" applyFont="1" applyFill="1" applyBorder="1" applyAlignment="1">
      <alignment horizontal="center" vertical="center"/>
    </xf>
    <xf numFmtId="0" fontId="72" fillId="0" borderId="81" xfId="0" quotePrefix="1" applyFont="1" applyBorder="1" applyAlignment="1" applyProtection="1">
      <alignment horizontal="center" vertical="center" shrinkToFit="1"/>
      <protection hidden="1"/>
    </xf>
    <xf numFmtId="0" fontId="72" fillId="0" borderId="20" xfId="0" quotePrefix="1" applyFont="1" applyBorder="1" applyAlignment="1" applyProtection="1">
      <alignment horizontal="center" vertical="center" shrinkToFit="1"/>
      <protection hidden="1"/>
    </xf>
    <xf numFmtId="0" fontId="71" fillId="0" borderId="96" xfId="0" applyFont="1" applyFill="1" applyBorder="1" applyAlignment="1">
      <alignment horizontal="center" vertical="center" shrinkToFit="1"/>
    </xf>
    <xf numFmtId="0" fontId="71" fillId="0" borderId="37" xfId="0" applyFont="1" applyFill="1" applyBorder="1" applyAlignment="1">
      <alignment horizontal="center" vertical="center" shrinkToFit="1"/>
    </xf>
    <xf numFmtId="0" fontId="71" fillId="0" borderId="74" xfId="0" applyFont="1" applyFill="1" applyBorder="1" applyAlignment="1">
      <alignment horizontal="center" vertical="center" shrinkToFit="1"/>
    </xf>
    <xf numFmtId="0" fontId="25" fillId="0" borderId="0" xfId="0" applyFont="1" applyBorder="1" applyAlignment="1">
      <alignment horizontal="left"/>
    </xf>
    <xf numFmtId="176" fontId="54" fillId="0" borderId="0" xfId="1" applyNumberFormat="1" applyFont="1" applyBorder="1" applyAlignment="1">
      <alignment horizontal="right"/>
    </xf>
    <xf numFmtId="0" fontId="71" fillId="0" borderId="97" xfId="0" applyFont="1" applyFill="1" applyBorder="1" applyAlignment="1">
      <alignment horizontal="center" vertical="center" shrinkToFit="1"/>
    </xf>
    <xf numFmtId="0" fontId="71" fillId="0" borderId="53" xfId="0" applyFont="1" applyFill="1" applyBorder="1" applyAlignment="1">
      <alignment horizontal="center" vertical="center" shrinkToFit="1"/>
    </xf>
    <xf numFmtId="41" fontId="71" fillId="0" borderId="57" xfId="1" applyFont="1" applyFill="1" applyBorder="1" applyAlignment="1">
      <alignment horizontal="center" vertical="center" shrinkToFit="1"/>
    </xf>
    <xf numFmtId="0" fontId="71" fillId="0" borderId="57" xfId="0" applyFont="1" applyFill="1" applyBorder="1" applyAlignment="1">
      <alignment horizontal="center" vertical="center" shrinkToFit="1"/>
    </xf>
    <xf numFmtId="0" fontId="71" fillId="0" borderId="36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top" wrapText="1" shrinkToFit="1"/>
    </xf>
    <xf numFmtId="0" fontId="9" fillId="0" borderId="4" xfId="0" applyFont="1" applyBorder="1" applyAlignment="1">
      <alignment horizontal="left" vertical="top" shrinkToFit="1"/>
    </xf>
    <xf numFmtId="41" fontId="9" fillId="0" borderId="1" xfId="0" applyNumberFormat="1" applyFont="1" applyBorder="1" applyAlignment="1">
      <alignment horizontal="right" vertical="top" shrinkToFit="1"/>
    </xf>
    <xf numFmtId="41" fontId="9" fillId="0" borderId="4" xfId="0" applyNumberFormat="1" applyFont="1" applyBorder="1" applyAlignment="1">
      <alignment horizontal="right" vertical="top" shrinkToFit="1"/>
    </xf>
    <xf numFmtId="0" fontId="9" fillId="0" borderId="31" xfId="0" applyFont="1" applyBorder="1" applyAlignment="1">
      <alignment horizontal="left" vertical="top" shrinkToFit="1"/>
    </xf>
    <xf numFmtId="41" fontId="9" fillId="0" borderId="13" xfId="0" applyNumberFormat="1" applyFont="1" applyBorder="1" applyAlignment="1">
      <alignment horizontal="right" vertical="top"/>
    </xf>
    <xf numFmtId="41" fontId="9" fillId="0" borderId="33" xfId="0" applyNumberFormat="1" applyFont="1" applyBorder="1" applyAlignment="1">
      <alignment horizontal="right" vertical="top"/>
    </xf>
    <xf numFmtId="41" fontId="5" fillId="0" borderId="1" xfId="0" applyNumberFormat="1" applyFont="1" applyBorder="1" applyAlignment="1">
      <alignment horizontal="right" vertical="top"/>
    </xf>
    <xf numFmtId="41" fontId="5" fillId="0" borderId="3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 shrinkToFit="1"/>
    </xf>
    <xf numFmtId="0" fontId="5" fillId="0" borderId="4" xfId="0" applyFont="1" applyBorder="1" applyAlignment="1">
      <alignment horizontal="left" vertical="top" shrinkToFit="1"/>
    </xf>
    <xf numFmtId="41" fontId="5" fillId="0" borderId="1" xfId="0" applyNumberFormat="1" applyFont="1" applyBorder="1" applyAlignment="1">
      <alignment horizontal="right" vertical="top" shrinkToFit="1"/>
    </xf>
    <xf numFmtId="41" fontId="5" fillId="0" borderId="4" xfId="0" applyNumberFormat="1" applyFont="1" applyBorder="1" applyAlignment="1">
      <alignment horizontal="right" vertical="top" shrinkToFit="1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shrinkToFit="1"/>
    </xf>
    <xf numFmtId="41" fontId="5" fillId="0" borderId="2" xfId="0" applyNumberFormat="1" applyFont="1" applyBorder="1" applyAlignment="1">
      <alignment horizontal="right" vertical="top" shrinkToFit="1"/>
    </xf>
    <xf numFmtId="41" fontId="4" fillId="0" borderId="1" xfId="0" applyNumberFormat="1" applyFont="1" applyBorder="1" applyAlignment="1">
      <alignment horizontal="right" vertical="top"/>
    </xf>
    <xf numFmtId="41" fontId="4" fillId="0" borderId="31" xfId="0" applyNumberFormat="1" applyFont="1" applyBorder="1" applyAlignment="1">
      <alignment horizontal="right" vertical="top"/>
    </xf>
    <xf numFmtId="41" fontId="5" fillId="0" borderId="2" xfId="0" applyNumberFormat="1" applyFont="1" applyBorder="1" applyAlignment="1">
      <alignment horizontal="right" vertical="top"/>
    </xf>
    <xf numFmtId="41" fontId="5" fillId="0" borderId="4" xfId="0" applyNumberFormat="1" applyFont="1" applyBorder="1" applyAlignment="1">
      <alignment horizontal="right" vertical="top"/>
    </xf>
    <xf numFmtId="41" fontId="5" fillId="0" borderId="13" xfId="0" applyNumberFormat="1" applyFont="1" applyBorder="1" applyAlignment="1">
      <alignment horizontal="right" vertical="top"/>
    </xf>
    <xf numFmtId="176" fontId="20" fillId="0" borderId="0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176" fontId="77" fillId="0" borderId="21" xfId="1" applyNumberFormat="1" applyFont="1" applyFill="1" applyBorder="1" applyAlignment="1">
      <alignment horizontal="right" vertical="center"/>
    </xf>
    <xf numFmtId="176" fontId="77" fillId="0" borderId="71" xfId="1" applyNumberFormat="1" applyFont="1" applyFill="1" applyBorder="1" applyAlignment="1">
      <alignment horizontal="right" vertical="center"/>
    </xf>
    <xf numFmtId="176" fontId="7" fillId="0" borderId="6" xfId="1" applyNumberFormat="1" applyFont="1" applyBorder="1" applyAlignment="1">
      <alignment horizontal="right" vertical="center"/>
    </xf>
    <xf numFmtId="176" fontId="7" fillId="0" borderId="80" xfId="1" applyNumberFormat="1" applyFont="1" applyBorder="1" applyAlignment="1">
      <alignment horizontal="right" vertical="center"/>
    </xf>
    <xf numFmtId="176" fontId="7" fillId="6" borderId="6" xfId="1" applyNumberFormat="1" applyFont="1" applyFill="1" applyBorder="1" applyAlignment="1">
      <alignment horizontal="right" vertical="center"/>
    </xf>
    <xf numFmtId="176" fontId="7" fillId="6" borderId="80" xfId="1" applyNumberFormat="1" applyFont="1" applyFill="1" applyBorder="1" applyAlignment="1">
      <alignment horizontal="right" vertical="center"/>
    </xf>
    <xf numFmtId="41" fontId="4" fillId="0" borderId="5" xfId="1" applyFont="1" applyBorder="1" applyAlignment="1">
      <alignment horizontal="center" vertical="center"/>
    </xf>
    <xf numFmtId="41" fontId="4" fillId="0" borderId="62" xfId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41" fontId="4" fillId="0" borderId="1" xfId="0" applyNumberFormat="1" applyFont="1" applyBorder="1" applyAlignment="1">
      <alignment horizontal="right" vertical="top" wrapText="1"/>
    </xf>
    <xf numFmtId="41" fontId="4" fillId="0" borderId="31" xfId="0" applyNumberFormat="1" applyFont="1" applyBorder="1" applyAlignment="1">
      <alignment horizontal="right" vertical="top" wrapText="1"/>
    </xf>
    <xf numFmtId="41" fontId="5" fillId="0" borderId="33" xfId="0" applyNumberFormat="1" applyFont="1" applyBorder="1" applyAlignment="1">
      <alignment horizontal="right" vertical="top"/>
    </xf>
    <xf numFmtId="0" fontId="5" fillId="0" borderId="13" xfId="0" applyFont="1" applyBorder="1" applyAlignment="1">
      <alignment horizontal="left" vertical="center"/>
    </xf>
    <xf numFmtId="176" fontId="54" fillId="0" borderId="0" xfId="1" applyNumberFormat="1" applyFont="1" applyBorder="1" applyAlignment="1">
      <alignment horizontal="right" vertical="center"/>
    </xf>
    <xf numFmtId="0" fontId="4" fillId="0" borderId="9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74" xfId="0" applyFont="1" applyBorder="1" applyAlignment="1">
      <alignment horizontal="left" vertical="center"/>
    </xf>
    <xf numFmtId="41" fontId="11" fillId="5" borderId="57" xfId="0" applyNumberFormat="1" applyFont="1" applyFill="1" applyBorder="1" applyAlignment="1">
      <alignment horizontal="center" vertical="center" wrapText="1"/>
    </xf>
    <xf numFmtId="41" fontId="11" fillId="5" borderId="13" xfId="0" applyNumberFormat="1" applyFont="1" applyFill="1" applyBorder="1" applyAlignment="1">
      <alignment horizontal="center" vertical="center"/>
    </xf>
    <xf numFmtId="41" fontId="11" fillId="5" borderId="70" xfId="0" applyNumberFormat="1" applyFont="1" applyFill="1" applyBorder="1" applyAlignment="1">
      <alignment horizontal="center" vertical="center" wrapText="1"/>
    </xf>
    <xf numFmtId="41" fontId="11" fillId="5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shrinkToFit="1"/>
    </xf>
    <xf numFmtId="0" fontId="5" fillId="0" borderId="31" xfId="0" applyFont="1" applyBorder="1" applyAlignment="1">
      <alignment horizontal="left" vertical="top" shrinkToFit="1"/>
    </xf>
    <xf numFmtId="41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30" fillId="0" borderId="0" xfId="0" applyNumberFormat="1" applyFont="1" applyBorder="1" applyAlignment="1">
      <alignment horizontal="left" vertical="center"/>
    </xf>
    <xf numFmtId="0" fontId="23" fillId="8" borderId="32" xfId="0" applyFont="1" applyFill="1" applyBorder="1" applyAlignment="1">
      <alignment horizontal="center" vertical="center"/>
    </xf>
    <xf numFmtId="0" fontId="23" fillId="8" borderId="22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 shrinkToFit="1"/>
    </xf>
    <xf numFmtId="0" fontId="9" fillId="0" borderId="2" xfId="0" applyFont="1" applyBorder="1" applyAlignment="1">
      <alignment horizontal="left" vertical="top" shrinkToFit="1"/>
    </xf>
    <xf numFmtId="0" fontId="35" fillId="0" borderId="13" xfId="0" applyFont="1" applyBorder="1" applyAlignment="1">
      <alignment horizontal="center" vertical="center"/>
    </xf>
    <xf numFmtId="0" fontId="11" fillId="5" borderId="86" xfId="1" applyNumberFormat="1" applyFont="1" applyFill="1" applyBorder="1" applyAlignment="1">
      <alignment horizontal="center" vertical="center"/>
    </xf>
    <xf numFmtId="0" fontId="11" fillId="5" borderId="71" xfId="1" applyNumberFormat="1" applyFont="1" applyFill="1" applyBorder="1" applyAlignment="1">
      <alignment horizontal="center" vertical="center"/>
    </xf>
    <xf numFmtId="0" fontId="11" fillId="5" borderId="77" xfId="1" applyNumberFormat="1" applyFont="1" applyFill="1" applyBorder="1" applyAlignment="1">
      <alignment horizontal="center" vertical="center"/>
    </xf>
    <xf numFmtId="0" fontId="11" fillId="5" borderId="59" xfId="1" applyNumberFormat="1" applyFont="1" applyFill="1" applyBorder="1" applyAlignment="1">
      <alignment horizontal="center" vertical="center"/>
    </xf>
    <xf numFmtId="0" fontId="11" fillId="5" borderId="18" xfId="1" applyNumberFormat="1" applyFont="1" applyFill="1" applyBorder="1" applyAlignment="1">
      <alignment horizontal="center" vertical="center"/>
    </xf>
    <xf numFmtId="0" fontId="11" fillId="5" borderId="21" xfId="1" applyNumberFormat="1" applyFont="1" applyFill="1" applyBorder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top" wrapText="1" shrinkToFit="1"/>
    </xf>
    <xf numFmtId="41" fontId="9" fillId="0" borderId="1" xfId="0" applyNumberFormat="1" applyFont="1" applyBorder="1" applyAlignment="1">
      <alignment horizontal="right" vertical="top" wrapText="1" shrinkToFit="1"/>
    </xf>
    <xf numFmtId="41" fontId="9" fillId="0" borderId="31" xfId="0" applyNumberFormat="1" applyFont="1" applyBorder="1" applyAlignment="1">
      <alignment horizontal="right" vertical="top" wrapText="1" shrinkToFit="1"/>
    </xf>
    <xf numFmtId="41" fontId="9" fillId="0" borderId="1" xfId="0" applyNumberFormat="1" applyFont="1" applyBorder="1" applyAlignment="1">
      <alignment horizontal="right" vertical="top"/>
    </xf>
    <xf numFmtId="41" fontId="9" fillId="0" borderId="31" xfId="0" applyNumberFormat="1" applyFont="1" applyBorder="1" applyAlignment="1">
      <alignment horizontal="right" vertical="top"/>
    </xf>
    <xf numFmtId="0" fontId="7" fillId="0" borderId="39" xfId="0" applyFont="1" applyBorder="1" applyAlignment="1">
      <alignment horizontal="left" vertical="center" wrapText="1"/>
    </xf>
    <xf numFmtId="0" fontId="7" fillId="0" borderId="57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41" fontId="9" fillId="0" borderId="31" xfId="0" applyNumberFormat="1" applyFont="1" applyBorder="1" applyAlignment="1">
      <alignment horizontal="right" vertical="top" shrinkToFit="1"/>
    </xf>
    <xf numFmtId="41" fontId="9" fillId="0" borderId="2" xfId="0" applyNumberFormat="1" applyFont="1" applyBorder="1" applyAlignment="1">
      <alignment horizontal="right" vertical="top" shrinkToFit="1"/>
    </xf>
    <xf numFmtId="41" fontId="9" fillId="0" borderId="4" xfId="0" applyNumberFormat="1" applyFont="1" applyBorder="1" applyAlignment="1">
      <alignment horizontal="right" vertical="top" wrapText="1" shrinkToFit="1"/>
    </xf>
    <xf numFmtId="0" fontId="7" fillId="0" borderId="4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4" fillId="0" borderId="98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top"/>
    </xf>
    <xf numFmtId="0" fontId="4" fillId="0" borderId="4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6" fontId="11" fillId="0" borderId="24" xfId="0" applyNumberFormat="1" applyFont="1" applyBorder="1" applyAlignment="1">
      <alignment horizontal="left" vertical="center"/>
    </xf>
    <xf numFmtId="176" fontId="11" fillId="0" borderId="6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4" fillId="0" borderId="0" xfId="0" applyFont="1" applyBorder="1" applyAlignment="1">
      <alignment horizontal="right" vertical="center"/>
    </xf>
    <xf numFmtId="0" fontId="11" fillId="5" borderId="39" xfId="0" applyFont="1" applyFill="1" applyBorder="1" applyAlignment="1">
      <alignment horizontal="center" vertical="center"/>
    </xf>
    <xf numFmtId="0" fontId="11" fillId="5" borderId="57" xfId="0" applyFont="1" applyFill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5" fillId="0" borderId="31" xfId="0" applyNumberFormat="1" applyFont="1" applyBorder="1" applyAlignment="1">
      <alignment horizontal="right" vertical="top" shrinkToFi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top" shrinkToFit="1"/>
    </xf>
    <xf numFmtId="176" fontId="4" fillId="0" borderId="6" xfId="0" applyNumberFormat="1" applyFont="1" applyBorder="1" applyAlignment="1">
      <alignment horizontal="right" vertical="center"/>
    </xf>
    <xf numFmtId="176" fontId="4" fillId="0" borderId="80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top"/>
    </xf>
    <xf numFmtId="0" fontId="5" fillId="0" borderId="75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center"/>
    </xf>
    <xf numFmtId="0" fontId="7" fillId="0" borderId="98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176" fontId="4" fillId="6" borderId="37" xfId="0" applyNumberFormat="1" applyFont="1" applyFill="1" applyBorder="1" applyAlignment="1">
      <alignment horizontal="right" vertical="center"/>
    </xf>
    <xf numFmtId="176" fontId="4" fillId="6" borderId="83" xfId="0" applyNumberFormat="1" applyFont="1" applyFill="1" applyBorder="1" applyAlignment="1">
      <alignment horizontal="right" vertical="center"/>
    </xf>
    <xf numFmtId="176" fontId="4" fillId="4" borderId="37" xfId="0" applyNumberFormat="1" applyFont="1" applyFill="1" applyBorder="1" applyAlignment="1">
      <alignment horizontal="right" vertical="center"/>
    </xf>
    <xf numFmtId="176" fontId="4" fillId="4" borderId="83" xfId="0" applyNumberFormat="1" applyFont="1" applyFill="1" applyBorder="1" applyAlignment="1">
      <alignment horizontal="right" vertical="center"/>
    </xf>
    <xf numFmtId="0" fontId="5" fillId="0" borderId="13" xfId="0" applyFont="1" applyBorder="1" applyAlignment="1">
      <alignment horizontal="left" vertical="top"/>
    </xf>
    <xf numFmtId="0" fontId="9" fillId="0" borderId="22" xfId="0" applyFont="1" applyBorder="1" applyAlignment="1">
      <alignment horizontal="lef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80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76" fontId="7" fillId="0" borderId="21" xfId="0" applyNumberFormat="1" applyFont="1" applyFill="1" applyBorder="1" applyAlignment="1">
      <alignment horizontal="right" vertical="center"/>
    </xf>
    <xf numFmtId="176" fontId="7" fillId="0" borderId="71" xfId="0" applyNumberFormat="1" applyFont="1" applyFill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0" borderId="80" xfId="0" applyNumberFormat="1" applyFont="1" applyBorder="1" applyAlignment="1">
      <alignment horizontal="right" vertical="center"/>
    </xf>
    <xf numFmtId="10" fontId="5" fillId="2" borderId="8" xfId="0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180" fontId="5" fillId="2" borderId="8" xfId="0" applyNumberFormat="1" applyFont="1" applyFill="1" applyBorder="1" applyAlignment="1">
      <alignment horizontal="right" vertical="center"/>
    </xf>
    <xf numFmtId="41" fontId="3" fillId="0" borderId="21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41" fontId="52" fillId="0" borderId="6" xfId="1" applyFont="1" applyFill="1" applyBorder="1" applyAlignment="1">
      <alignment horizontal="center" vertical="center"/>
    </xf>
    <xf numFmtId="41" fontId="52" fillId="0" borderId="80" xfId="1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30" fillId="0" borderId="45" xfId="0" applyFont="1" applyBorder="1" applyAlignment="1">
      <alignment horizontal="left" vertical="center"/>
    </xf>
    <xf numFmtId="176" fontId="54" fillId="0" borderId="45" xfId="1" applyNumberFormat="1" applyFont="1" applyBorder="1" applyAlignment="1">
      <alignment horizontal="right" vertical="center"/>
    </xf>
    <xf numFmtId="0" fontId="35" fillId="0" borderId="23" xfId="0" applyFont="1" applyBorder="1" applyAlignment="1">
      <alignment horizontal="center" vertical="center"/>
    </xf>
    <xf numFmtId="176" fontId="10" fillId="5" borderId="86" xfId="1" applyNumberFormat="1" applyFont="1" applyFill="1" applyBorder="1" applyAlignment="1">
      <alignment horizontal="center" vertical="center"/>
    </xf>
    <xf numFmtId="176" fontId="10" fillId="5" borderId="46" xfId="1" applyNumberFormat="1" applyFont="1" applyFill="1" applyBorder="1" applyAlignment="1">
      <alignment horizontal="center" vertical="center"/>
    </xf>
    <xf numFmtId="176" fontId="10" fillId="5" borderId="77" xfId="1" applyNumberFormat="1" applyFont="1" applyFill="1" applyBorder="1" applyAlignment="1">
      <alignment horizontal="center" vertical="center"/>
    </xf>
    <xf numFmtId="176" fontId="10" fillId="5" borderId="59" xfId="1" applyNumberFormat="1" applyFont="1" applyFill="1" applyBorder="1" applyAlignment="1">
      <alignment horizontal="center" vertical="center"/>
    </xf>
    <xf numFmtId="176" fontId="10" fillId="5" borderId="20" xfId="1" applyNumberFormat="1" applyFont="1" applyFill="1" applyBorder="1" applyAlignment="1">
      <alignment horizontal="center" vertical="center"/>
    </xf>
    <xf numFmtId="176" fontId="10" fillId="5" borderId="45" xfId="1" applyNumberFormat="1" applyFont="1" applyFill="1" applyBorder="1" applyAlignment="1">
      <alignment horizontal="center" vertical="center"/>
    </xf>
    <xf numFmtId="41" fontId="11" fillId="5" borderId="33" xfId="0" applyNumberFormat="1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11" fillId="5" borderId="31" xfId="0" applyNumberFormat="1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/>
    </xf>
    <xf numFmtId="0" fontId="10" fillId="5" borderId="57" xfId="0" applyFont="1" applyFill="1" applyBorder="1" applyAlignment="1">
      <alignment horizontal="center" vertical="center"/>
    </xf>
    <xf numFmtId="41" fontId="58" fillId="0" borderId="13" xfId="1" applyFont="1" applyBorder="1" applyAlignment="1">
      <alignment horizontal="left" vertical="center"/>
    </xf>
    <xf numFmtId="41" fontId="3" fillId="0" borderId="1" xfId="0" applyNumberFormat="1" applyFont="1" applyBorder="1" applyAlignment="1">
      <alignment horizontal="right" vertical="top"/>
    </xf>
    <xf numFmtId="41" fontId="3" fillId="0" borderId="2" xfId="0" applyNumberFormat="1" applyFont="1" applyBorder="1" applyAlignment="1">
      <alignment horizontal="right" vertical="top"/>
    </xf>
    <xf numFmtId="41" fontId="3" fillId="0" borderId="4" xfId="0" applyNumberFormat="1" applyFont="1" applyBorder="1" applyAlignment="1">
      <alignment horizontal="right" vertical="top"/>
    </xf>
    <xf numFmtId="181" fontId="5" fillId="2" borderId="8" xfId="0" applyNumberFormat="1" applyFont="1" applyFill="1" applyBorder="1" applyAlignment="1">
      <alignment horizontal="right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8" fontId="5" fillId="2" borderId="8" xfId="0" applyNumberFormat="1" applyFont="1" applyFill="1" applyBorder="1" applyAlignment="1">
      <alignment horizontal="right" vertical="center"/>
    </xf>
    <xf numFmtId="41" fontId="4" fillId="0" borderId="59" xfId="1" applyFont="1" applyBorder="1" applyAlignment="1">
      <alignment horizontal="center" vertical="center"/>
    </xf>
    <xf numFmtId="41" fontId="4" fillId="0" borderId="86" xfId="1" applyFont="1" applyBorder="1" applyAlignment="1">
      <alignment horizontal="center" vertical="center"/>
    </xf>
    <xf numFmtId="41" fontId="52" fillId="0" borderId="37" xfId="1" applyFont="1" applyBorder="1" applyAlignment="1">
      <alignment horizontal="center" vertical="center"/>
    </xf>
    <xf numFmtId="41" fontId="52" fillId="0" borderId="83" xfId="1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9" fillId="0" borderId="122" xfId="0" applyFont="1" applyFill="1" applyBorder="1" applyAlignment="1">
      <alignment horizontal="center" vertical="center" wrapText="1"/>
    </xf>
    <xf numFmtId="0" fontId="69" fillId="0" borderId="123" xfId="0" applyFont="1" applyFill="1" applyBorder="1" applyAlignment="1">
      <alignment horizontal="center" vertical="center" wrapText="1"/>
    </xf>
    <xf numFmtId="0" fontId="69" fillId="0" borderId="130" xfId="0" applyFont="1" applyFill="1" applyBorder="1" applyAlignment="1">
      <alignment horizontal="center" vertical="center" wrapText="1"/>
    </xf>
    <xf numFmtId="0" fontId="69" fillId="0" borderId="118" xfId="0" applyFont="1" applyFill="1" applyBorder="1" applyAlignment="1">
      <alignment horizontal="center" vertical="center" wrapText="1"/>
    </xf>
    <xf numFmtId="0" fontId="69" fillId="0" borderId="129" xfId="0" applyFont="1" applyFill="1" applyBorder="1" applyAlignment="1">
      <alignment horizontal="center" vertical="center" wrapText="1"/>
    </xf>
    <xf numFmtId="0" fontId="69" fillId="0" borderId="106" xfId="0" applyFont="1" applyFill="1" applyBorder="1" applyAlignment="1">
      <alignment horizontal="center" vertical="center" wrapText="1"/>
    </xf>
    <xf numFmtId="0" fontId="69" fillId="0" borderId="124" xfId="0" applyFont="1" applyFill="1" applyBorder="1" applyAlignment="1">
      <alignment horizontal="center" vertical="center" wrapText="1"/>
    </xf>
    <xf numFmtId="0" fontId="70" fillId="0" borderId="90" xfId="0" applyFont="1" applyFill="1" applyBorder="1" applyAlignment="1">
      <alignment horizontal="center" vertical="center" wrapText="1"/>
    </xf>
    <xf numFmtId="0" fontId="70" fillId="0" borderId="48" xfId="0" applyFont="1" applyFill="1" applyBorder="1" applyAlignment="1">
      <alignment horizontal="center" vertical="center" wrapText="1"/>
    </xf>
    <xf numFmtId="0" fontId="70" fillId="0" borderId="125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69" fillId="0" borderId="92" xfId="0" applyFont="1" applyFill="1" applyBorder="1" applyAlignment="1">
      <alignment horizontal="center" vertical="center" wrapText="1"/>
    </xf>
    <xf numFmtId="0" fontId="69" fillId="0" borderId="93" xfId="0" applyFont="1" applyFill="1" applyBorder="1" applyAlignment="1">
      <alignment horizontal="center" vertical="center" wrapText="1"/>
    </xf>
    <xf numFmtId="0" fontId="69" fillId="0" borderId="89" xfId="0" applyFont="1" applyFill="1" applyBorder="1" applyAlignment="1">
      <alignment horizontal="center" vertical="center" wrapText="1"/>
    </xf>
    <xf numFmtId="0" fontId="69" fillId="0" borderId="126" xfId="0" applyFont="1" applyFill="1" applyBorder="1" applyAlignment="1">
      <alignment horizontal="center" vertical="center" wrapText="1"/>
    </xf>
    <xf numFmtId="0" fontId="69" fillId="0" borderId="127" xfId="0" applyFont="1" applyFill="1" applyBorder="1" applyAlignment="1">
      <alignment horizontal="center" vertical="center" wrapText="1"/>
    </xf>
    <xf numFmtId="0" fontId="69" fillId="0" borderId="128" xfId="0" applyFont="1" applyFill="1" applyBorder="1" applyAlignment="1">
      <alignment horizontal="center" vertical="center" wrapText="1"/>
    </xf>
    <xf numFmtId="0" fontId="67" fillId="0" borderId="130" xfId="0" applyFont="1" applyFill="1" applyBorder="1" applyAlignment="1">
      <alignment horizontal="left" vertical="center" wrapText="1"/>
    </xf>
    <xf numFmtId="0" fontId="67" fillId="0" borderId="104" xfId="0" applyFont="1" applyFill="1" applyBorder="1" applyAlignment="1">
      <alignment horizontal="left" vertical="center" wrapText="1"/>
    </xf>
    <xf numFmtId="0" fontId="67" fillId="0" borderId="131" xfId="0" applyFont="1" applyFill="1" applyBorder="1" applyAlignment="1">
      <alignment horizontal="left" vertical="center" wrapText="1"/>
    </xf>
    <xf numFmtId="0" fontId="67" fillId="0" borderId="102" xfId="0" applyFont="1" applyFill="1" applyBorder="1" applyAlignment="1">
      <alignment horizontal="left" vertical="center" wrapText="1"/>
    </xf>
    <xf numFmtId="0" fontId="69" fillId="0" borderId="132" xfId="0" applyFont="1" applyFill="1" applyBorder="1" applyAlignment="1">
      <alignment horizontal="center" vertical="center" wrapText="1"/>
    </xf>
    <xf numFmtId="0" fontId="69" fillId="0" borderId="133" xfId="0" applyFont="1" applyFill="1" applyBorder="1" applyAlignment="1">
      <alignment horizontal="center" vertical="center" wrapText="1"/>
    </xf>
    <xf numFmtId="179" fontId="9" fillId="0" borderId="1" xfId="0" applyNumberFormat="1" applyFont="1" applyBorder="1" applyAlignment="1">
      <alignment horizontal="right" vertical="top" shrinkToFit="1"/>
    </xf>
    <xf numFmtId="179" fontId="9" fillId="0" borderId="4" xfId="0" applyNumberFormat="1" applyFont="1" applyBorder="1" applyAlignment="1">
      <alignment horizontal="right" vertical="top" shrinkToFit="1"/>
    </xf>
    <xf numFmtId="179" fontId="9" fillId="0" borderId="1" xfId="0" applyNumberFormat="1" applyFont="1" applyBorder="1" applyAlignment="1">
      <alignment horizontal="right" vertical="top" wrapText="1" shrinkToFit="1"/>
    </xf>
    <xf numFmtId="179" fontId="9" fillId="0" borderId="4" xfId="0" applyNumberFormat="1" applyFont="1" applyBorder="1" applyAlignment="1">
      <alignment horizontal="right" vertical="top" wrapText="1" shrinkToFit="1"/>
    </xf>
    <xf numFmtId="179" fontId="9" fillId="0" borderId="13" xfId="0" applyNumberFormat="1" applyFont="1" applyBorder="1" applyAlignment="1">
      <alignment horizontal="right" vertical="top"/>
    </xf>
    <xf numFmtId="179" fontId="5" fillId="0" borderId="1" xfId="0" applyNumberFormat="1" applyFont="1" applyBorder="1" applyAlignment="1">
      <alignment horizontal="right" vertical="top"/>
    </xf>
    <xf numFmtId="179" fontId="5" fillId="0" borderId="4" xfId="0" applyNumberFormat="1" applyFont="1" applyBorder="1" applyAlignment="1">
      <alignment horizontal="right" vertical="top"/>
    </xf>
    <xf numFmtId="179" fontId="9" fillId="0" borderId="31" xfId="0" applyNumberFormat="1" applyFont="1" applyBorder="1" applyAlignment="1">
      <alignment horizontal="right" vertical="top" wrapText="1" shrinkToFit="1"/>
    </xf>
    <xf numFmtId="179" fontId="9" fillId="0" borderId="2" xfId="0" applyNumberFormat="1" applyFont="1" applyBorder="1" applyAlignment="1">
      <alignment horizontal="right" vertical="top" shrinkToFit="1"/>
    </xf>
    <xf numFmtId="179" fontId="9" fillId="0" borderId="1" xfId="0" applyNumberFormat="1" applyFont="1" applyBorder="1" applyAlignment="1">
      <alignment horizontal="right" vertical="top"/>
    </xf>
    <xf numFmtId="179" fontId="5" fillId="0" borderId="2" xfId="0" applyNumberFormat="1" applyFont="1" applyBorder="1" applyAlignment="1">
      <alignment horizontal="right" vertical="top"/>
    </xf>
    <xf numFmtId="179" fontId="9" fillId="0" borderId="31" xfId="0" applyNumberFormat="1" applyFont="1" applyBorder="1" applyAlignment="1">
      <alignment horizontal="right" vertical="top"/>
    </xf>
    <xf numFmtId="179" fontId="5" fillId="0" borderId="31" xfId="0" applyNumberFormat="1" applyFont="1" applyBorder="1" applyAlignment="1">
      <alignment horizontal="right" vertical="top"/>
    </xf>
    <xf numFmtId="179" fontId="9" fillId="0" borderId="31" xfId="0" applyNumberFormat="1" applyFont="1" applyBorder="1" applyAlignment="1">
      <alignment horizontal="right" vertical="top" shrinkToFit="1"/>
    </xf>
    <xf numFmtId="179" fontId="9" fillId="0" borderId="33" xfId="0" applyNumberFormat="1" applyFont="1" applyBorder="1" applyAlignment="1">
      <alignment horizontal="right" vertical="top"/>
    </xf>
    <xf numFmtId="179" fontId="5" fillId="0" borderId="1" xfId="0" applyNumberFormat="1" applyFont="1" applyBorder="1" applyAlignment="1">
      <alignment horizontal="right" vertical="top" shrinkToFit="1"/>
    </xf>
    <xf numFmtId="179" fontId="5" fillId="0" borderId="4" xfId="0" applyNumberFormat="1" applyFont="1" applyBorder="1" applyAlignment="1">
      <alignment horizontal="right" vertical="top" shrinkToFit="1"/>
    </xf>
    <xf numFmtId="179" fontId="5" fillId="0" borderId="13" xfId="0" applyNumberFormat="1" applyFont="1" applyBorder="1" applyAlignment="1">
      <alignment horizontal="right" vertical="top"/>
    </xf>
    <xf numFmtId="179" fontId="5" fillId="0" borderId="2" xfId="0" applyNumberFormat="1" applyFont="1" applyBorder="1" applyAlignment="1">
      <alignment horizontal="right" vertical="top" shrinkToFit="1"/>
    </xf>
    <xf numFmtId="179" fontId="5" fillId="0" borderId="31" xfId="0" applyNumberFormat="1" applyFont="1" applyBorder="1" applyAlignment="1">
      <alignment horizontal="right" vertical="top" shrinkToFit="1"/>
    </xf>
    <xf numFmtId="179" fontId="5" fillId="0" borderId="33" xfId="0" applyNumberFormat="1" applyFont="1" applyBorder="1" applyAlignment="1">
      <alignment horizontal="right" vertical="top"/>
    </xf>
    <xf numFmtId="176" fontId="7" fillId="8" borderId="21" xfId="1" applyNumberFormat="1" applyFont="1" applyFill="1" applyBorder="1" applyAlignment="1">
      <alignment horizontal="right" vertical="center"/>
    </xf>
    <xf numFmtId="176" fontId="7" fillId="8" borderId="71" xfId="1" applyNumberFormat="1" applyFont="1" applyFill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top" wrapText="1"/>
    </xf>
    <xf numFmtId="179" fontId="4" fillId="0" borderId="31" xfId="0" applyNumberFormat="1" applyFont="1" applyBorder="1" applyAlignment="1">
      <alignment horizontal="right" vertical="top" wrapText="1"/>
    </xf>
    <xf numFmtId="179" fontId="4" fillId="0" borderId="1" xfId="0" applyNumberFormat="1" applyFont="1" applyBorder="1" applyAlignment="1">
      <alignment horizontal="right" vertical="top"/>
    </xf>
    <xf numFmtId="179" fontId="4" fillId="0" borderId="31" xfId="0" applyNumberFormat="1" applyFont="1" applyBorder="1" applyAlignment="1">
      <alignment horizontal="right" vertical="top"/>
    </xf>
    <xf numFmtId="176" fontId="7" fillId="8" borderId="6" xfId="1" applyNumberFormat="1" applyFont="1" applyFill="1" applyBorder="1" applyAlignment="1">
      <alignment horizontal="right" vertical="center"/>
    </xf>
    <xf numFmtId="176" fontId="7" fillId="8" borderId="80" xfId="1" applyNumberFormat="1" applyFont="1" applyFill="1" applyBorder="1" applyAlignment="1">
      <alignment horizontal="right" vertical="center"/>
    </xf>
    <xf numFmtId="0" fontId="4" fillId="0" borderId="4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1" fontId="4" fillId="0" borderId="34" xfId="1" applyFont="1" applyBorder="1" applyAlignment="1">
      <alignment horizontal="center" vertical="center"/>
    </xf>
    <xf numFmtId="41" fontId="4" fillId="0" borderId="69" xfId="1" applyFont="1" applyBorder="1" applyAlignment="1">
      <alignment horizontal="center" vertical="center"/>
    </xf>
    <xf numFmtId="179" fontId="11" fillId="5" borderId="70" xfId="0" applyNumberFormat="1" applyFont="1" applyFill="1" applyBorder="1" applyAlignment="1">
      <alignment horizontal="center" vertical="center" wrapText="1"/>
    </xf>
    <xf numFmtId="179" fontId="11" fillId="5" borderId="4" xfId="0" applyNumberFormat="1" applyFont="1" applyFill="1" applyBorder="1" applyAlignment="1">
      <alignment horizontal="center" vertical="center"/>
    </xf>
    <xf numFmtId="0" fontId="11" fillId="5" borderId="57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11" fillId="5" borderId="70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176" fontId="4" fillId="8" borderId="37" xfId="0" applyNumberFormat="1" applyFont="1" applyFill="1" applyBorder="1" applyAlignment="1">
      <alignment horizontal="right" vertical="center"/>
    </xf>
    <xf numFmtId="176" fontId="4" fillId="8" borderId="83" xfId="0" applyNumberFormat="1" applyFont="1" applyFill="1" applyBorder="1" applyAlignment="1">
      <alignment horizontal="right" vertical="center"/>
    </xf>
    <xf numFmtId="0" fontId="4" fillId="0" borderId="94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4" fillId="0" borderId="7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179" fontId="3" fillId="0" borderId="1" xfId="0" applyNumberFormat="1" applyFont="1" applyBorder="1" applyAlignment="1">
      <alignment horizontal="right" vertical="top"/>
    </xf>
    <xf numFmtId="179" fontId="3" fillId="0" borderId="2" xfId="0" applyNumberFormat="1" applyFont="1" applyBorder="1" applyAlignment="1">
      <alignment horizontal="right" vertical="top"/>
    </xf>
    <xf numFmtId="179" fontId="3" fillId="0" borderId="4" xfId="0" applyNumberFormat="1" applyFont="1" applyBorder="1" applyAlignment="1">
      <alignment horizontal="right" vertical="top"/>
    </xf>
    <xf numFmtId="0" fontId="35" fillId="0" borderId="24" xfId="0" applyFont="1" applyBorder="1" applyAlignment="1">
      <alignment horizontal="center" vertical="center"/>
    </xf>
    <xf numFmtId="179" fontId="11" fillId="5" borderId="31" xfId="0" applyNumberFormat="1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25" fillId="0" borderId="87" xfId="0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0" fontId="25" fillId="0" borderId="95" xfId="0" applyFont="1" applyBorder="1" applyAlignment="1">
      <alignment horizontal="center" vertical="center"/>
    </xf>
    <xf numFmtId="0" fontId="25" fillId="0" borderId="99" xfId="0" applyFont="1" applyBorder="1" applyAlignment="1">
      <alignment horizontal="center" vertical="center"/>
    </xf>
    <xf numFmtId="41" fontId="0" fillId="0" borderId="88" xfId="1" applyFont="1" applyBorder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0" fontId="25" fillId="0" borderId="84" xfId="0" applyFont="1" applyBorder="1" applyAlignment="1">
      <alignment horizontal="center" vertical="center"/>
    </xf>
    <xf numFmtId="0" fontId="25" fillId="0" borderId="56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55" xfId="0" applyFont="1" applyBorder="1" applyAlignment="1">
      <alignment horizontal="center" vertical="center"/>
    </xf>
    <xf numFmtId="41" fontId="73" fillId="0" borderId="13" xfId="1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5" fillId="0" borderId="88" xfId="0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41" fontId="0" fillId="0" borderId="75" xfId="0" applyNumberFormat="1" applyBorder="1" applyAlignment="1">
      <alignment horizontal="left" vertical="center"/>
    </xf>
    <xf numFmtId="41" fontId="0" fillId="0" borderId="33" xfId="0" applyNumberFormat="1" applyBorder="1" applyAlignment="1">
      <alignment horizontal="left" vertical="center"/>
    </xf>
    <xf numFmtId="41" fontId="0" fillId="0" borderId="38" xfId="0" applyNumberFormat="1" applyBorder="1" applyAlignment="1">
      <alignment horizontal="left" vertical="center"/>
    </xf>
    <xf numFmtId="0" fontId="25" fillId="0" borderId="90" xfId="0" applyFont="1" applyBorder="1" applyAlignment="1">
      <alignment horizontal="center" vertical="center"/>
    </xf>
    <xf numFmtId="0" fontId="25" fillId="0" borderId="91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0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69" xfId="0" applyBorder="1" applyAlignment="1">
      <alignment horizontal="left" vertical="center"/>
    </xf>
    <xf numFmtId="0" fontId="44" fillId="0" borderId="0" xfId="0" applyFont="1" applyAlignment="1">
      <alignment horizontal="right" vertical="center"/>
    </xf>
    <xf numFmtId="0" fontId="44" fillId="0" borderId="0" xfId="0" applyFont="1" applyAlignment="1">
      <alignment horizontal="center" vertical="center"/>
    </xf>
    <xf numFmtId="0" fontId="75" fillId="0" borderId="94" xfId="0" applyFont="1" applyBorder="1" applyAlignment="1">
      <alignment horizontal="center" vertical="center" wrapText="1"/>
    </xf>
    <xf numFmtId="0" fontId="75" fillId="0" borderId="42" xfId="0" applyFont="1" applyBorder="1" applyAlignment="1">
      <alignment horizontal="center" vertical="center"/>
    </xf>
    <xf numFmtId="0" fontId="75" fillId="0" borderId="44" xfId="0" applyFont="1" applyBorder="1" applyAlignment="1">
      <alignment horizontal="center" vertical="center"/>
    </xf>
  </cellXfs>
  <cellStyles count="8">
    <cellStyle name="쉼표 [0]" xfId="1" builtinId="6"/>
    <cellStyle name="쉼표 [0] 2" xfId="2"/>
    <cellStyle name="통화 [0] 2" xfId="3"/>
    <cellStyle name="표준" xfId="0" builtinId="0"/>
    <cellStyle name="표준 2" xfId="4"/>
    <cellStyle name="표준 2 2" xfId="5"/>
    <cellStyle name="표준_2008예산(작은나무)" xfId="6"/>
    <cellStyle name="표준_예산총칙양식" xfId="7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9317273212429969E-2"/>
          <c:y val="1.5208774785247851E-2"/>
          <c:w val="0.81777542670424264"/>
          <c:h val="0.82371542153514865"/>
        </c:manualLayout>
      </c:layout>
      <c:bar3DChart>
        <c:barDir val="col"/>
        <c:grouping val="clustered"/>
        <c:varyColors val="0"/>
        <c:ser>
          <c:idx val="0"/>
          <c:order val="0"/>
          <c:tx>
            <c:v>전국평균</c:v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1.0149064383127201E-2"/>
                  <c:y val="-3.1890621336512722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6.3431722860556134E-3"/>
                  <c:y val="-8.6393108142856709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268634457211121E-2"/>
                  <c:y val="-8.6393108142856709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3.8059415140081691E-3"/>
                  <c:y val="-5.7595405428571113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014906438312718E-2"/>
                  <c:y val="-5.9656972408650335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395495995813493E-2"/>
                  <c:y val="-8.6393108142856709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141769743101808E-2"/>
                  <c:y val="-2.9828486204325141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포트폴리오!$A$12:$B$19</c:f>
              <c:strCache>
                <c:ptCount val="8"/>
                <c:pt idx="0">
                  <c:v>인건비</c:v>
                </c:pt>
                <c:pt idx="1">
                  <c:v>생계비</c:v>
                </c:pt>
                <c:pt idx="2">
                  <c:v>운영비</c:v>
                </c:pt>
                <c:pt idx="3">
                  <c:v>자산조성비</c:v>
                </c:pt>
                <c:pt idx="4">
                  <c:v>기타전출금</c:v>
                </c:pt>
                <c:pt idx="5">
                  <c:v>예비비+잡지출</c:v>
                </c:pt>
                <c:pt idx="6">
                  <c:v>적립금</c:v>
                </c:pt>
                <c:pt idx="7">
                  <c:v>준비금</c:v>
                </c:pt>
              </c:strCache>
            </c:strRef>
          </c:cat>
          <c:val>
            <c:numRef>
              <c:f>포트폴리오!$I$12:$I$19</c:f>
              <c:numCache>
                <c:formatCode>0%</c:formatCode>
                <c:ptCount val="8"/>
                <c:pt idx="0">
                  <c:v>0.63</c:v>
                </c:pt>
                <c:pt idx="1">
                  <c:v>0.11</c:v>
                </c:pt>
                <c:pt idx="2" formatCode="0.00%">
                  <c:v>0.09</c:v>
                </c:pt>
                <c:pt idx="3" formatCode="0.00%">
                  <c:v>0.01</c:v>
                </c:pt>
                <c:pt idx="4">
                  <c:v>0.1</c:v>
                </c:pt>
                <c:pt idx="5">
                  <c:v>0.02</c:v>
                </c:pt>
                <c:pt idx="6" formatCode="0.00%">
                  <c:v>0.02</c:v>
                </c:pt>
                <c:pt idx="7" formatCode="0.00%">
                  <c:v>0.02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3D3-47AB-863A-63040466A5FE}"/>
            </c:ext>
          </c:extLst>
        </c:ser>
        <c:ser>
          <c:idx val="1"/>
          <c:order val="1"/>
          <c:tx>
            <c:strRef>
              <c:f>표제!$A$42</c:f>
              <c:strCache>
                <c:ptCount val="1"/>
                <c:pt idx="0">
                  <c:v>YJ주야간보호센터</c:v>
                </c:pt>
              </c:strCache>
            </c:strRef>
          </c:tx>
          <c:spPr>
            <a:solidFill>
              <a:srgbClr val="FFFF99"/>
            </a:solidFill>
          </c:spPr>
          <c:invertIfNegative val="0"/>
          <c:dLbls>
            <c:dLbl>
              <c:idx val="0"/>
              <c:layout>
                <c:manualLayout>
                  <c:x val="9.0909489670282211E-3"/>
                  <c:y val="-2.9584537583723183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7652130861910829E-3"/>
                  <c:y val="-2.9829431433576852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2513464258306265E-2"/>
                  <c:y val="-5.8627134147862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1.1302443858238529E-2"/>
                  <c:y val="0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7.6117982873453935E-3"/>
                  <c:y val="-8.948545861297539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1417729186087518E-2"/>
                  <c:y val="-8.6393108142856709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3666889672418071E-2"/>
                  <c:y val="-5.8627134147862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A3D3-47AB-863A-63040466A5F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포트폴리오!$A$12:$B$19</c:f>
              <c:strCache>
                <c:ptCount val="8"/>
                <c:pt idx="0">
                  <c:v>인건비</c:v>
                </c:pt>
                <c:pt idx="1">
                  <c:v>생계비</c:v>
                </c:pt>
                <c:pt idx="2">
                  <c:v>운영비</c:v>
                </c:pt>
                <c:pt idx="3">
                  <c:v>자산조성비</c:v>
                </c:pt>
                <c:pt idx="4">
                  <c:v>기타전출금</c:v>
                </c:pt>
                <c:pt idx="5">
                  <c:v>예비비+잡지출</c:v>
                </c:pt>
                <c:pt idx="6">
                  <c:v>적립금</c:v>
                </c:pt>
                <c:pt idx="7">
                  <c:v>준비금</c:v>
                </c:pt>
              </c:strCache>
            </c:strRef>
          </c:cat>
          <c:val>
            <c:numRef>
              <c:f>포트폴리오!$F$12:$F$19</c:f>
              <c:numCache>
                <c:formatCode>0.0%</c:formatCode>
                <c:ptCount val="8"/>
                <c:pt idx="0">
                  <c:v>0.69505996817375715</c:v>
                </c:pt>
                <c:pt idx="1">
                  <c:v>0.12039763760311081</c:v>
                </c:pt>
                <c:pt idx="2">
                  <c:v>0.37211350115048275</c:v>
                </c:pt>
                <c:pt idx="3">
                  <c:v>0</c:v>
                </c:pt>
                <c:pt idx="4">
                  <c:v>0.11093148427805051</c:v>
                </c:pt>
                <c:pt idx="5">
                  <c:v>1.2414206822631403E-2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A3D3-47AB-863A-63040466A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7062656"/>
        <c:axId val="72987712"/>
        <c:axId val="0"/>
      </c:bar3DChart>
      <c:catAx>
        <c:axId val="7706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90" b="1" baseline="0"/>
            </a:pPr>
            <a:endParaRPr lang="ko-KR"/>
          </a:p>
        </c:txPr>
        <c:crossAx val="72987712"/>
        <c:crosses val="autoZero"/>
        <c:auto val="1"/>
        <c:lblAlgn val="ctr"/>
        <c:lblOffset val="100"/>
        <c:noMultiLvlLbl val="0"/>
      </c:catAx>
      <c:valAx>
        <c:axId val="72987712"/>
        <c:scaling>
          <c:orientation val="minMax"/>
        </c:scaling>
        <c:delete val="0"/>
        <c:axPos val="l"/>
        <c:majorGridlines/>
        <c:minorGridlines>
          <c:spPr>
            <a:ln>
              <a:solidFill>
                <a:schemeClr val="bg1"/>
              </a:solidFill>
            </a:ln>
          </c:spPr>
        </c:min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77062656"/>
        <c:crosses val="autoZero"/>
        <c:crossBetween val="between"/>
        <c:majorUnit val="0.0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917402262386693"/>
          <c:y val="0.43291378501641736"/>
          <c:w val="0.19952789099194579"/>
          <c:h val="0.11809107511751148"/>
        </c:manualLayout>
      </c:layout>
      <c:overlay val="0"/>
      <c:txPr>
        <a:bodyPr/>
        <a:lstStyle/>
        <a:p>
          <a:pPr>
            <a:defRPr sz="1200" b="1"/>
          </a:pPr>
          <a:endParaRPr lang="ko-KR"/>
        </a:p>
      </c:txPr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85725</xdr:rowOff>
    </xdr:from>
    <xdr:to>
      <xdr:col>11</xdr:col>
      <xdr:colOff>733425</xdr:colOff>
      <xdr:row>38</xdr:row>
      <xdr:rowOff>123825</xdr:rowOff>
    </xdr:to>
    <xdr:graphicFrame macro="">
      <xdr:nvGraphicFramePr>
        <xdr:cNvPr id="1484" name="차트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723900</xdr:colOff>
      <xdr:row>1</xdr:row>
      <xdr:rowOff>95250</xdr:rowOff>
    </xdr:from>
    <xdr:to>
      <xdr:col>11</xdr:col>
      <xdr:colOff>704850</xdr:colOff>
      <xdr:row>2</xdr:row>
      <xdr:rowOff>200025</xdr:rowOff>
    </xdr:to>
    <xdr:pic>
      <xdr:nvPicPr>
        <xdr:cNvPr id="148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851577">
          <a:off x="9772650" y="266700"/>
          <a:ext cx="742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691596</xdr:colOff>
      <xdr:row>13</xdr:row>
      <xdr:rowOff>159723</xdr:rowOff>
    </xdr:from>
    <xdr:ext cx="6787008" cy="1344663"/>
    <xdr:sp macro="" textlink="">
      <xdr:nvSpPr>
        <xdr:cNvPr id="11" name="TextBox 10">
          <a:extLst/>
        </xdr:cNvPr>
        <xdr:cNvSpPr txBox="1"/>
      </xdr:nvSpPr>
      <xdr:spPr>
        <a:xfrm rot="20466069">
          <a:off x="1453596" y="3083898"/>
          <a:ext cx="6787008" cy="1344663"/>
        </a:xfrm>
        <a:prstGeom prst="rect">
          <a:avLst/>
        </a:prstGeom>
        <a:noFill/>
        <a:effectLst>
          <a:outerShdw blurRad="50800" dist="50800" dir="5400000" algn="ctr" rotWithShape="0">
            <a:schemeClr val="bg1">
              <a:lumMod val="75000"/>
              <a:alpha val="69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n-US" altLang="ko-KR" sz="8000">
              <a:solidFill>
                <a:schemeClr val="bg1">
                  <a:lumMod val="85000"/>
                </a:schemeClr>
              </a:solidFill>
            </a:rPr>
            <a:t>SMSOLUTION</a:t>
          </a:r>
          <a:endParaRPr lang="ko-KR" altLang="en-US" sz="8000">
            <a:solidFill>
              <a:schemeClr val="bg1">
                <a:lumMod val="85000"/>
              </a:schemeClr>
            </a:solidFill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olution-main\sm&#50629;&#47924;\10.2018&#45380;&#50696;&#49328;&#49436;\2018&#45380;6&#50900;&#49688;&#51221;\W4C&#51077;&#47141;&#50756;&#47308;\&#45436;&#54788;&#45432;&#51064;&#51452;&#50556;&#44036;&#48372;&#54840;-2018&#45380;%20&#51116;&#44032;&#49468;&#53552;%20&#50696;&#49328;&#494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제"/>
      <sheetName val="예산총칙"/>
      <sheetName val="총괄표"/>
      <sheetName val="보수일람표"/>
      <sheetName val="세입예산서"/>
      <sheetName val="세출예산서"/>
      <sheetName val="추경예산총괄표"/>
      <sheetName val="추경세입예산서"/>
      <sheetName val="추경세출예산서 "/>
      <sheetName val="포트폴리오"/>
      <sheetName val="보고서"/>
    </sheetNames>
    <sheetDataSet>
      <sheetData sheetId="0"/>
      <sheetData sheetId="1"/>
      <sheetData sheetId="2"/>
      <sheetData sheetId="3"/>
      <sheetData sheetId="4">
        <row r="91">
          <cell r="H91">
            <v>0</v>
          </cell>
        </row>
        <row r="110">
          <cell r="H110">
            <v>0</v>
          </cell>
        </row>
        <row r="111">
          <cell r="H111">
            <v>0</v>
          </cell>
          <cell r="K111">
            <v>0</v>
          </cell>
        </row>
        <row r="248">
          <cell r="R248">
            <v>0</v>
          </cell>
          <cell r="T248">
            <v>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43"/>
  <sheetViews>
    <sheetView workbookViewId="0">
      <selection activeCell="G22" sqref="G22"/>
    </sheetView>
  </sheetViews>
  <sheetFormatPr defaultColWidth="8.88671875" defaultRowHeight="13.5"/>
  <cols>
    <col min="1" max="1" width="4.5546875" style="37" customWidth="1"/>
    <col min="2" max="2" width="5" style="37" customWidth="1"/>
    <col min="3" max="7" width="8.88671875" style="37"/>
    <col min="8" max="8" width="6.21875" style="37" customWidth="1"/>
    <col min="9" max="10" width="8.88671875" style="37"/>
    <col min="11" max="11" width="8.109375" style="37" customWidth="1"/>
    <col min="12" max="16384" width="8.88671875" style="37"/>
  </cols>
  <sheetData>
    <row r="9" spans="1:12" s="38" customFormat="1"/>
    <row r="10" spans="1:12" s="38" customFormat="1" ht="63.75" customHeight="1">
      <c r="A10" s="1008" t="s">
        <v>765</v>
      </c>
      <c r="B10" s="1008"/>
      <c r="C10" s="1008"/>
      <c r="D10" s="1008"/>
      <c r="E10" s="1008"/>
      <c r="F10" s="1009" t="s">
        <v>224</v>
      </c>
      <c r="G10" s="1009"/>
      <c r="H10" s="1009"/>
      <c r="I10" s="1009"/>
      <c r="J10" s="1009"/>
      <c r="K10" s="1009"/>
      <c r="L10" s="39"/>
    </row>
    <row r="11" spans="1:12" s="38" customFormat="1"/>
    <row r="12" spans="1:12" s="38" customFormat="1"/>
    <row r="40" spans="1:11" ht="12" customHeight="1"/>
    <row r="41" spans="1:11" hidden="1"/>
    <row r="42" spans="1:11" ht="61.5" customHeight="1">
      <c r="A42" s="1007" t="s">
        <v>813</v>
      </c>
      <c r="B42" s="1007"/>
      <c r="C42" s="1007"/>
      <c r="D42" s="1007"/>
      <c r="E42" s="1007"/>
      <c r="F42" s="1007"/>
      <c r="G42" s="1007"/>
      <c r="H42" s="1007"/>
      <c r="I42" s="1007"/>
      <c r="J42" s="1007"/>
      <c r="K42" s="1007"/>
    </row>
    <row r="43" spans="1:11">
      <c r="D43" s="247"/>
    </row>
  </sheetData>
  <mergeCells count="3">
    <mergeCell ref="A42:K42"/>
    <mergeCell ref="A10:E10"/>
    <mergeCell ref="F10:K10"/>
  </mergeCells>
  <phoneticPr fontId="2" type="noConversion"/>
  <pageMargins left="0.21" right="0.2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D6" sqref="D6"/>
    </sheetView>
  </sheetViews>
  <sheetFormatPr defaultColWidth="8.88671875" defaultRowHeight="24.75" customHeight="1"/>
  <cols>
    <col min="1" max="1" width="7.77734375" style="42" customWidth="1"/>
    <col min="2" max="3" width="6.77734375" style="42" customWidth="1"/>
    <col min="4" max="4" width="10.5546875" style="42" bestFit="1" customWidth="1"/>
    <col min="5" max="5" width="15.5546875" style="43" customWidth="1"/>
    <col min="6" max="6" width="6.5546875" style="43" customWidth="1"/>
    <col min="7" max="8" width="7.33203125" style="43" customWidth="1"/>
    <col min="9" max="9" width="7.33203125" style="42" customWidth="1"/>
    <col min="10" max="10" width="8" style="42" customWidth="1"/>
    <col min="11" max="16384" width="8.88671875" style="42"/>
  </cols>
  <sheetData>
    <row r="1" spans="1:11" ht="24.75" customHeight="1">
      <c r="A1" s="1010" t="s">
        <v>175</v>
      </c>
      <c r="B1" s="1010"/>
      <c r="C1" s="1010"/>
      <c r="D1" s="1010"/>
      <c r="E1" s="1010"/>
      <c r="F1" s="1010"/>
      <c r="G1" s="1010"/>
      <c r="H1" s="1010"/>
      <c r="I1" s="1010"/>
      <c r="J1" s="1010"/>
    </row>
    <row r="2" spans="1:11" ht="24.75" customHeight="1">
      <c r="A2" s="1010"/>
      <c r="B2" s="1010"/>
      <c r="C2" s="1010"/>
      <c r="D2" s="1010"/>
      <c r="E2" s="1010"/>
      <c r="F2" s="1010"/>
      <c r="G2" s="1010"/>
      <c r="H2" s="1010"/>
      <c r="I2" s="1010"/>
      <c r="J2" s="1010"/>
    </row>
    <row r="3" spans="1:11" ht="27" customHeight="1" thickBot="1">
      <c r="A3" s="1022"/>
      <c r="B3" s="1022"/>
      <c r="C3" s="1022"/>
      <c r="D3" s="1022"/>
      <c r="E3" s="1022"/>
      <c r="F3" s="1022"/>
      <c r="G3" s="1022"/>
      <c r="H3" s="1022"/>
      <c r="I3" s="1022"/>
    </row>
    <row r="4" spans="1:11" s="239" customFormat="1" ht="39" customHeight="1">
      <c r="A4" s="1017" t="s">
        <v>223</v>
      </c>
      <c r="B4" s="1018"/>
      <c r="C4" s="1018"/>
      <c r="D4" s="1019" t="str">
        <f>표제!A42</f>
        <v>YJ주야간보호센터</v>
      </c>
      <c r="E4" s="1019"/>
      <c r="F4" s="319" t="str">
        <f>표제!A10</f>
        <v>2020년</v>
      </c>
      <c r="G4" s="1020" t="s">
        <v>225</v>
      </c>
      <c r="H4" s="1020"/>
      <c r="I4" s="1020"/>
      <c r="J4" s="1021"/>
    </row>
    <row r="5" spans="1:11" s="246" customFormat="1" ht="27.75" customHeight="1">
      <c r="A5" s="1014" t="s">
        <v>217</v>
      </c>
      <c r="B5" s="1015"/>
      <c r="C5" s="1015"/>
      <c r="D5" s="317">
        <f>세입예산서!E5</f>
        <v>108276200</v>
      </c>
      <c r="E5" s="240" t="s">
        <v>165</v>
      </c>
      <c r="F5" s="240"/>
      <c r="G5" s="250"/>
      <c r="H5" s="250"/>
      <c r="I5" s="250"/>
      <c r="J5" s="251"/>
    </row>
    <row r="6" spans="1:11" s="239" customFormat="1" ht="24.75" customHeight="1">
      <c r="A6" s="252"/>
      <c r="B6" s="240"/>
      <c r="C6" s="240"/>
      <c r="D6" s="240"/>
      <c r="E6" s="240"/>
      <c r="F6" s="240"/>
      <c r="G6" s="240"/>
      <c r="H6" s="240"/>
      <c r="I6" s="240"/>
      <c r="J6" s="253"/>
    </row>
    <row r="7" spans="1:11" s="239" customFormat="1" ht="27" customHeight="1">
      <c r="A7" s="1023" t="s">
        <v>166</v>
      </c>
      <c r="B7" s="1024"/>
      <c r="C7" s="1024"/>
      <c r="D7" s="1024"/>
      <c r="E7" s="1024"/>
      <c r="F7" s="1024"/>
      <c r="G7" s="1024"/>
      <c r="H7" s="1024"/>
      <c r="I7" s="1024"/>
      <c r="J7" s="253"/>
    </row>
    <row r="8" spans="1:11" s="239" customFormat="1" ht="27" customHeight="1">
      <c r="A8" s="249" t="s">
        <v>167</v>
      </c>
      <c r="B8" s="1013" t="s">
        <v>168</v>
      </c>
      <c r="C8" s="1013"/>
      <c r="D8" s="1013"/>
      <c r="E8" s="1013"/>
      <c r="F8" s="1013"/>
      <c r="G8" s="1013"/>
      <c r="H8" s="1013"/>
      <c r="I8" s="1013"/>
      <c r="J8" s="253"/>
    </row>
    <row r="9" spans="1:11" s="239" customFormat="1" ht="27" customHeight="1">
      <c r="A9" s="249" t="s">
        <v>169</v>
      </c>
      <c r="B9" s="1013" t="s">
        <v>170</v>
      </c>
      <c r="C9" s="1013"/>
      <c r="D9" s="1013"/>
      <c r="E9" s="1013"/>
      <c r="F9" s="1013"/>
      <c r="G9" s="1013"/>
      <c r="H9" s="1013"/>
      <c r="I9" s="1013"/>
      <c r="J9" s="253"/>
    </row>
    <row r="10" spans="1:11" s="239" customFormat="1" ht="27" customHeight="1">
      <c r="A10" s="254"/>
      <c r="B10" s="240"/>
      <c r="C10" s="241"/>
      <c r="D10" s="242"/>
      <c r="E10" s="243"/>
      <c r="F10" s="243"/>
      <c r="G10" s="243"/>
      <c r="H10" s="243"/>
      <c r="I10" s="243"/>
      <c r="J10" s="253"/>
    </row>
    <row r="11" spans="1:11" s="239" customFormat="1" ht="27" customHeight="1">
      <c r="A11" s="252" t="s">
        <v>171</v>
      </c>
      <c r="B11" s="240" t="str">
        <f>F4</f>
        <v>2020년</v>
      </c>
      <c r="C11" s="240" t="s">
        <v>226</v>
      </c>
      <c r="D11" s="240"/>
      <c r="E11" s="240"/>
      <c r="F11" s="240"/>
      <c r="G11" s="240"/>
      <c r="H11" s="240"/>
      <c r="I11" s="240"/>
      <c r="J11" s="253"/>
    </row>
    <row r="12" spans="1:11" s="239" customFormat="1" ht="24.75" customHeight="1">
      <c r="A12" s="252"/>
      <c r="B12" s="240"/>
      <c r="C12" s="240"/>
      <c r="D12" s="240"/>
      <c r="E12" s="240"/>
      <c r="F12" s="240"/>
      <c r="G12" s="240"/>
      <c r="H12" s="240"/>
      <c r="I12" s="240"/>
      <c r="J12" s="253"/>
    </row>
    <row r="13" spans="1:11" s="239" customFormat="1" ht="24.75" customHeight="1">
      <c r="A13" s="252" t="s">
        <v>172</v>
      </c>
      <c r="B13" s="240" t="str">
        <f>B11</f>
        <v>2020년</v>
      </c>
      <c r="C13" s="1013" t="s">
        <v>227</v>
      </c>
      <c r="D13" s="1013"/>
      <c r="E13" s="1013"/>
      <c r="F13" s="1013"/>
      <c r="G13" s="1013"/>
      <c r="H13" s="1013"/>
      <c r="I13" s="1013"/>
      <c r="J13" s="253"/>
    </row>
    <row r="14" spans="1:11" s="244" customFormat="1" ht="24.75" customHeight="1">
      <c r="A14" s="255"/>
      <c r="B14" s="248"/>
      <c r="C14" s="248"/>
      <c r="D14" s="248"/>
      <c r="E14" s="256"/>
      <c r="F14" s="256"/>
      <c r="G14" s="248"/>
      <c r="H14" s="257"/>
      <c r="I14" s="248"/>
      <c r="J14" s="258"/>
    </row>
    <row r="15" spans="1:11" s="239" customFormat="1" ht="24.75" customHeight="1">
      <c r="A15" s="255" t="s">
        <v>173</v>
      </c>
      <c r="B15" s="1013" t="s">
        <v>218</v>
      </c>
      <c r="C15" s="1013"/>
      <c r="D15" s="1013"/>
      <c r="E15" s="1013"/>
      <c r="F15" s="1013"/>
      <c r="G15" s="1013"/>
      <c r="H15" s="1013"/>
      <c r="I15" s="1013"/>
      <c r="J15" s="1016"/>
    </row>
    <row r="16" spans="1:11" s="246" customFormat="1" ht="17.25" customHeight="1">
      <c r="A16" s="262" t="s">
        <v>174</v>
      </c>
      <c r="B16" s="250"/>
      <c r="C16" s="250"/>
      <c r="D16" s="250"/>
      <c r="E16" s="250"/>
      <c r="F16" s="250"/>
      <c r="G16" s="250"/>
      <c r="H16" s="250"/>
      <c r="I16" s="250"/>
      <c r="J16" s="263"/>
      <c r="K16" s="245"/>
    </row>
    <row r="17" spans="1:10" s="246" customFormat="1" ht="24.75" customHeight="1">
      <c r="A17" s="1011" t="s">
        <v>176</v>
      </c>
      <c r="B17" s="1012"/>
      <c r="C17" s="1012"/>
      <c r="D17" s="1012"/>
      <c r="E17" s="1012"/>
      <c r="F17" s="1012"/>
      <c r="G17" s="1012"/>
      <c r="H17" s="1012"/>
      <c r="I17" s="1012"/>
      <c r="J17" s="251"/>
    </row>
    <row r="18" spans="1:10" s="239" customFormat="1" ht="24.75" customHeight="1" thickBot="1">
      <c r="A18" s="259"/>
      <c r="B18" s="260"/>
      <c r="C18" s="260"/>
      <c r="D18" s="260"/>
      <c r="E18" s="260"/>
      <c r="F18" s="260"/>
      <c r="G18" s="260"/>
      <c r="H18" s="260"/>
      <c r="I18" s="260"/>
      <c r="J18" s="261"/>
    </row>
    <row r="19" spans="1:10" ht="24.75" customHeight="1">
      <c r="A19" s="85"/>
      <c r="B19" s="85"/>
      <c r="C19" s="85"/>
      <c r="D19" s="85"/>
      <c r="E19" s="85"/>
      <c r="F19" s="85"/>
      <c r="G19" s="85"/>
      <c r="H19" s="85"/>
      <c r="I19" s="85"/>
    </row>
    <row r="20" spans="1:10" ht="24.75" customHeight="1">
      <c r="A20" s="85"/>
      <c r="B20" s="85"/>
      <c r="C20" s="85"/>
      <c r="D20" s="85"/>
      <c r="E20" s="85"/>
      <c r="F20" s="85"/>
      <c r="G20" s="85"/>
      <c r="H20" s="85"/>
      <c r="I20" s="85"/>
    </row>
  </sheetData>
  <mergeCells count="12">
    <mergeCell ref="A1:J2"/>
    <mergeCell ref="A17:I17"/>
    <mergeCell ref="B8:I8"/>
    <mergeCell ref="B9:I9"/>
    <mergeCell ref="C13:I13"/>
    <mergeCell ref="A5:C5"/>
    <mergeCell ref="B15:J15"/>
    <mergeCell ref="A4:C4"/>
    <mergeCell ref="D4:E4"/>
    <mergeCell ref="G4:J4"/>
    <mergeCell ref="A3:I3"/>
    <mergeCell ref="A7:I7"/>
  </mergeCells>
  <phoneticPr fontId="2" type="noConversion"/>
  <printOptions horizontalCentered="1"/>
  <pageMargins left="0.21" right="0.2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view="pageBreakPreview" zoomScale="80" zoomScaleNormal="94" zoomScaleSheetLayoutView="80" workbookViewId="0">
      <selection activeCell="H15" sqref="H15"/>
    </sheetView>
  </sheetViews>
  <sheetFormatPr defaultRowHeight="13.5"/>
  <cols>
    <col min="1" max="1" width="12.5546875" style="132" customWidth="1"/>
    <col min="2" max="2" width="10.77734375" style="749" customWidth="1"/>
    <col min="3" max="3" width="14.5546875" style="749" customWidth="1"/>
    <col min="4" max="4" width="14.33203125" style="749" customWidth="1"/>
    <col min="5" max="5" width="6.6640625" style="749" customWidth="1"/>
    <col min="6" max="6" width="15.21875" style="871" bestFit="1" customWidth="1"/>
    <col min="7" max="7" width="10.77734375" style="749" customWidth="1"/>
    <col min="8" max="8" width="15.5546875" style="749" customWidth="1"/>
    <col min="9" max="9" width="15.77734375" style="749" customWidth="1"/>
    <col min="10" max="10" width="6.6640625" style="749" customWidth="1"/>
    <col min="11" max="14" width="8.5546875" customWidth="1"/>
  </cols>
  <sheetData>
    <row r="1" spans="1:16" ht="40.5" customHeight="1">
      <c r="A1" s="1032" t="s">
        <v>766</v>
      </c>
      <c r="B1" s="1033"/>
      <c r="C1" s="1033"/>
      <c r="D1" s="1033"/>
      <c r="E1" s="1033"/>
      <c r="F1" s="1033"/>
      <c r="G1" s="1033"/>
      <c r="H1" s="1033"/>
      <c r="I1" s="1033"/>
      <c r="J1" s="1033"/>
    </row>
    <row r="2" spans="1:16" ht="20.25" customHeight="1" thickBot="1">
      <c r="A2" s="1035" t="s">
        <v>177</v>
      </c>
      <c r="B2" s="1035"/>
      <c r="C2" s="1035"/>
      <c r="D2" s="1035"/>
      <c r="H2" s="1034" t="s">
        <v>282</v>
      </c>
      <c r="I2" s="1034"/>
      <c r="J2" s="1034"/>
      <c r="K2" s="135"/>
      <c r="L2" s="135"/>
      <c r="M2" s="135"/>
      <c r="N2" s="135"/>
      <c r="O2" s="135"/>
      <c r="P2" s="135"/>
    </row>
    <row r="3" spans="1:16" ht="26.25" customHeight="1">
      <c r="A3" s="1026" t="s">
        <v>461</v>
      </c>
      <c r="B3" s="1027"/>
      <c r="C3" s="1027"/>
      <c r="D3" s="1027"/>
      <c r="E3" s="1028"/>
      <c r="F3" s="1029" t="s">
        <v>462</v>
      </c>
      <c r="G3" s="1030"/>
      <c r="H3" s="1030"/>
      <c r="I3" s="1030"/>
      <c r="J3" s="1031"/>
    </row>
    <row r="4" spans="1:16" ht="25.5" customHeight="1">
      <c r="A4" s="1042" t="s">
        <v>144</v>
      </c>
      <c r="B4" s="1038" t="s">
        <v>822</v>
      </c>
      <c r="C4" s="1038" t="s">
        <v>159</v>
      </c>
      <c r="D4" s="1040" t="s">
        <v>160</v>
      </c>
      <c r="E4" s="1041"/>
      <c r="F4" s="1036" t="s">
        <v>144</v>
      </c>
      <c r="G4" s="1038" t="s">
        <v>822</v>
      </c>
      <c r="H4" s="1038" t="s">
        <v>159</v>
      </c>
      <c r="I4" s="1040" t="s">
        <v>160</v>
      </c>
      <c r="J4" s="1041"/>
    </row>
    <row r="5" spans="1:16" ht="24" customHeight="1" thickBot="1">
      <c r="A5" s="1043"/>
      <c r="B5" s="1039"/>
      <c r="C5" s="1039"/>
      <c r="D5" s="970" t="s">
        <v>142</v>
      </c>
      <c r="E5" s="971" t="s">
        <v>143</v>
      </c>
      <c r="F5" s="1037"/>
      <c r="G5" s="1039"/>
      <c r="H5" s="1039"/>
      <c r="I5" s="970" t="s">
        <v>142</v>
      </c>
      <c r="J5" s="971" t="s">
        <v>143</v>
      </c>
    </row>
    <row r="6" spans="1:16" ht="36" customHeight="1">
      <c r="A6" s="972" t="s">
        <v>145</v>
      </c>
      <c r="B6" s="973">
        <v>0</v>
      </c>
      <c r="C6" s="974">
        <f>세입예산서!Q6</f>
        <v>16378362</v>
      </c>
      <c r="D6" s="974">
        <f>C6-B6</f>
        <v>16378362</v>
      </c>
      <c r="E6" s="975"/>
      <c r="F6" s="976" t="s">
        <v>463</v>
      </c>
      <c r="G6" s="973">
        <v>0</v>
      </c>
      <c r="H6" s="974">
        <f>세출예산서!E6</f>
        <v>86581021.487499997</v>
      </c>
      <c r="I6" s="974">
        <f>H6-G6</f>
        <v>86581021.487499997</v>
      </c>
      <c r="J6" s="977"/>
    </row>
    <row r="7" spans="1:16" ht="36" customHeight="1">
      <c r="A7" s="978" t="s">
        <v>464</v>
      </c>
      <c r="B7" s="979">
        <v>0</v>
      </c>
      <c r="C7" s="980">
        <f>세입예산서!Q42</f>
        <v>0</v>
      </c>
      <c r="D7" s="981">
        <f t="shared" ref="D7:D17" si="0">C7-B7</f>
        <v>0</v>
      </c>
      <c r="E7" s="982"/>
      <c r="F7" s="983" t="s">
        <v>254</v>
      </c>
      <c r="G7" s="979">
        <v>0</v>
      </c>
      <c r="H7" s="980">
        <f>세출예산서!E104</f>
        <v>0</v>
      </c>
      <c r="I7" s="981">
        <f t="shared" ref="I7:I17" si="1">H7-G7</f>
        <v>0</v>
      </c>
      <c r="J7" s="984"/>
    </row>
    <row r="8" spans="1:16" ht="36" customHeight="1">
      <c r="A8" s="978" t="s">
        <v>147</v>
      </c>
      <c r="B8" s="979">
        <v>0</v>
      </c>
      <c r="C8" s="980">
        <f>세입예산서!Q46</f>
        <v>0</v>
      </c>
      <c r="D8" s="981">
        <f t="shared" si="0"/>
        <v>0</v>
      </c>
      <c r="E8" s="982"/>
      <c r="F8" s="983" t="s">
        <v>155</v>
      </c>
      <c r="G8" s="979">
        <v>0</v>
      </c>
      <c r="H8" s="980">
        <f>세출예산서!E113</f>
        <v>11688000</v>
      </c>
      <c r="I8" s="981">
        <f>H8-G8</f>
        <v>11688000</v>
      </c>
      <c r="J8" s="984"/>
    </row>
    <row r="9" spans="1:16" ht="36" customHeight="1">
      <c r="A9" s="978" t="s">
        <v>148</v>
      </c>
      <c r="B9" s="979">
        <v>0</v>
      </c>
      <c r="C9" s="980">
        <f>세입예산서!Q50</f>
        <v>0</v>
      </c>
      <c r="D9" s="981">
        <f t="shared" si="0"/>
        <v>0</v>
      </c>
      <c r="E9" s="982"/>
      <c r="F9" s="983" t="s">
        <v>447</v>
      </c>
      <c r="G9" s="979">
        <v>0</v>
      </c>
      <c r="H9" s="980">
        <f>세출예산서!E138</f>
        <v>9000000</v>
      </c>
      <c r="I9" s="981">
        <f>H9-G9</f>
        <v>9000000</v>
      </c>
      <c r="J9" s="984"/>
    </row>
    <row r="10" spans="1:16" ht="36" customHeight="1">
      <c r="A10" s="978" t="s">
        <v>150</v>
      </c>
      <c r="B10" s="979">
        <v>0</v>
      </c>
      <c r="C10" s="980">
        <f>세입예산서!E64</f>
        <v>0</v>
      </c>
      <c r="D10" s="981">
        <f t="shared" si="0"/>
        <v>0</v>
      </c>
      <c r="E10" s="982"/>
      <c r="F10" s="983" t="s">
        <v>255</v>
      </c>
      <c r="G10" s="979">
        <v>0</v>
      </c>
      <c r="H10" s="980">
        <f>세출예산서!E142</f>
        <v>0</v>
      </c>
      <c r="I10" s="981">
        <f t="shared" si="1"/>
        <v>0</v>
      </c>
      <c r="J10" s="984"/>
    </row>
    <row r="11" spans="1:16" ht="36" customHeight="1">
      <c r="A11" s="978" t="s">
        <v>149</v>
      </c>
      <c r="B11" s="979">
        <v>0</v>
      </c>
      <c r="C11" s="980">
        <f>세입예산서!N68</f>
        <v>64752798</v>
      </c>
      <c r="D11" s="981">
        <f>C11-B11</f>
        <v>64752798</v>
      </c>
      <c r="E11" s="982"/>
      <c r="F11" s="983" t="s">
        <v>448</v>
      </c>
      <c r="G11" s="979">
        <v>0</v>
      </c>
      <c r="H11" s="980">
        <f>세출예산서!E145</f>
        <v>0</v>
      </c>
      <c r="I11" s="981">
        <f t="shared" si="1"/>
        <v>0</v>
      </c>
      <c r="J11" s="984"/>
    </row>
    <row r="12" spans="1:16" ht="36" customHeight="1">
      <c r="A12" s="978" t="s">
        <v>151</v>
      </c>
      <c r="B12" s="979">
        <v>0</v>
      </c>
      <c r="C12" s="980">
        <f>세입예산서!Q97</f>
        <v>0</v>
      </c>
      <c r="D12" s="981">
        <f t="shared" si="0"/>
        <v>0</v>
      </c>
      <c r="E12" s="982"/>
      <c r="F12" s="983" t="s">
        <v>156</v>
      </c>
      <c r="G12" s="979">
        <v>0</v>
      </c>
      <c r="H12" s="980">
        <f>세출예산서!E152</f>
        <v>1007179</v>
      </c>
      <c r="I12" s="981">
        <f t="shared" si="1"/>
        <v>1007179</v>
      </c>
      <c r="J12" s="984"/>
    </row>
    <row r="13" spans="1:16" ht="36" customHeight="1">
      <c r="A13" s="978" t="s">
        <v>152</v>
      </c>
      <c r="B13" s="979">
        <v>0</v>
      </c>
      <c r="C13" s="980">
        <f>세입예산서!Q103</f>
        <v>25200000</v>
      </c>
      <c r="D13" s="981">
        <f t="shared" si="0"/>
        <v>25200000</v>
      </c>
      <c r="E13" s="982"/>
      <c r="F13" s="983" t="s">
        <v>465</v>
      </c>
      <c r="G13" s="979">
        <v>0</v>
      </c>
      <c r="H13" s="980">
        <f>세출예산서!E155</f>
        <v>0</v>
      </c>
      <c r="I13" s="981">
        <f t="shared" si="1"/>
        <v>0</v>
      </c>
      <c r="J13" s="984"/>
    </row>
    <row r="14" spans="1:16" ht="36" customHeight="1">
      <c r="A14" s="978" t="s">
        <v>153</v>
      </c>
      <c r="B14" s="979">
        <v>0</v>
      </c>
      <c r="C14" s="980">
        <f>세입예산서!Q113</f>
        <v>0</v>
      </c>
      <c r="D14" s="981">
        <f t="shared" si="0"/>
        <v>0</v>
      </c>
      <c r="E14" s="982"/>
      <c r="F14" s="983" t="s">
        <v>466</v>
      </c>
      <c r="G14" s="979">
        <v>0</v>
      </c>
      <c r="H14" s="980">
        <f>세출예산서!E159</f>
        <v>0</v>
      </c>
      <c r="I14" s="981">
        <f t="shared" si="1"/>
        <v>0</v>
      </c>
      <c r="J14" s="984"/>
    </row>
    <row r="15" spans="1:16" ht="36" customHeight="1">
      <c r="A15" s="978" t="s">
        <v>154</v>
      </c>
      <c r="B15" s="979">
        <v>0</v>
      </c>
      <c r="C15" s="980">
        <f>세입예산서!Q121</f>
        <v>1945040</v>
      </c>
      <c r="D15" s="981">
        <f t="shared" si="0"/>
        <v>1945040</v>
      </c>
      <c r="E15" s="982"/>
      <c r="F15" s="985" t="s">
        <v>467</v>
      </c>
      <c r="G15" s="979">
        <v>0</v>
      </c>
      <c r="H15" s="980">
        <f>세출예산서!Q149</f>
        <v>0</v>
      </c>
      <c r="I15" s="981">
        <f t="shared" si="1"/>
        <v>0</v>
      </c>
      <c r="J15" s="984"/>
    </row>
    <row r="16" spans="1:16" ht="36" customHeight="1">
      <c r="A16" s="986" t="s">
        <v>468</v>
      </c>
      <c r="B16" s="979">
        <v>0</v>
      </c>
      <c r="C16" s="987">
        <f>세입예산서!E132</f>
        <v>0</v>
      </c>
      <c r="D16" s="981">
        <f t="shared" si="0"/>
        <v>0</v>
      </c>
      <c r="E16" s="988"/>
      <c r="F16" s="989"/>
      <c r="G16" s="990"/>
      <c r="H16" s="987"/>
      <c r="I16" s="991"/>
      <c r="J16" s="992"/>
    </row>
    <row r="17" spans="1:10" ht="36" customHeight="1" thickBot="1">
      <c r="A17" s="993" t="s">
        <v>158</v>
      </c>
      <c r="B17" s="994">
        <f>SUM(B6:B15)</f>
        <v>0</v>
      </c>
      <c r="C17" s="994">
        <f>SUM(C6:C15)</f>
        <v>108276200</v>
      </c>
      <c r="D17" s="994">
        <f t="shared" si="0"/>
        <v>108276200</v>
      </c>
      <c r="E17" s="995"/>
      <c r="F17" s="996" t="s">
        <v>157</v>
      </c>
      <c r="G17" s="997">
        <f>SUM(G6:G15)</f>
        <v>0</v>
      </c>
      <c r="H17" s="994">
        <f>SUM(H6:H15)</f>
        <v>108276200.4875</v>
      </c>
      <c r="I17" s="994">
        <f t="shared" si="1"/>
        <v>108276200.4875</v>
      </c>
      <c r="J17" s="998"/>
    </row>
    <row r="18" spans="1:10">
      <c r="D18" s="872"/>
      <c r="E18" s="872"/>
      <c r="H18" s="1025" t="str">
        <f>표제!A42</f>
        <v>YJ주야간보호센터</v>
      </c>
      <c r="I18" s="1025"/>
      <c r="J18" s="1025"/>
    </row>
  </sheetData>
  <mergeCells count="14">
    <mergeCell ref="H18:J18"/>
    <mergeCell ref="A3:E3"/>
    <mergeCell ref="F3:J3"/>
    <mergeCell ref="A1:J1"/>
    <mergeCell ref="H2:J2"/>
    <mergeCell ref="A2:D2"/>
    <mergeCell ref="F4:F5"/>
    <mergeCell ref="G4:G5"/>
    <mergeCell ref="H4:H5"/>
    <mergeCell ref="I4:J4"/>
    <mergeCell ref="D4:E4"/>
    <mergeCell ref="A4:A5"/>
    <mergeCell ref="B4:B5"/>
    <mergeCell ref="C4:C5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1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K3" sqref="K3"/>
    </sheetView>
  </sheetViews>
  <sheetFormatPr defaultRowHeight="13.5"/>
  <cols>
    <col min="1" max="1" width="10" style="132" customWidth="1"/>
    <col min="2" max="2" width="7.77734375" customWidth="1"/>
    <col min="3" max="3" width="7.77734375" bestFit="1" customWidth="1"/>
    <col min="4" max="4" width="9.21875" customWidth="1"/>
    <col min="5" max="5" width="15.77734375" customWidth="1"/>
    <col min="6" max="6" width="12.6640625" customWidth="1"/>
    <col min="7" max="7" width="10.77734375" customWidth="1"/>
    <col min="8" max="8" width="20.44140625" customWidth="1"/>
    <col min="9" max="9" width="14.109375" bestFit="1" customWidth="1"/>
    <col min="10" max="10" width="13.109375" bestFit="1" customWidth="1"/>
    <col min="11" max="11" width="15.44140625" bestFit="1" customWidth="1"/>
    <col min="12" max="12" width="12.6640625" bestFit="1" customWidth="1"/>
    <col min="13" max="13" width="9.88671875" bestFit="1" customWidth="1"/>
  </cols>
  <sheetData>
    <row r="1" spans="1:13" ht="40.5" customHeight="1" thickBot="1">
      <c r="A1" s="1032" t="s">
        <v>281</v>
      </c>
      <c r="B1" s="1032"/>
      <c r="C1" s="1032"/>
      <c r="D1" s="1032"/>
      <c r="E1" s="1032"/>
      <c r="F1" s="1032"/>
      <c r="G1" s="1032"/>
      <c r="H1" s="1032"/>
      <c r="I1" s="750"/>
    </row>
    <row r="2" spans="1:13" ht="20.25" customHeight="1" thickBot="1">
      <c r="A2" s="1049" t="s">
        <v>419</v>
      </c>
      <c r="B2" s="1049"/>
      <c r="C2" s="701"/>
      <c r="D2" s="701"/>
      <c r="F2" s="1050"/>
      <c r="G2" s="1050"/>
      <c r="H2" s="734" t="s">
        <v>282</v>
      </c>
      <c r="I2" s="753" t="s">
        <v>482</v>
      </c>
      <c r="J2" s="754" t="s">
        <v>483</v>
      </c>
      <c r="K2" s="755" t="s">
        <v>484</v>
      </c>
      <c r="M2" s="749"/>
    </row>
    <row r="3" spans="1:13" s="758" customFormat="1" ht="21.75" customHeight="1">
      <c r="A3" s="1051" t="s">
        <v>469</v>
      </c>
      <c r="B3" s="1046" t="s">
        <v>470</v>
      </c>
      <c r="C3" s="1047"/>
      <c r="D3" s="1048"/>
      <c r="E3" s="1053" t="s">
        <v>471</v>
      </c>
      <c r="F3" s="1054"/>
      <c r="G3" s="1054"/>
      <c r="H3" s="1055"/>
      <c r="I3" s="756">
        <f>SUBTOTAL(9,H5:H10)</f>
        <v>47700000</v>
      </c>
      <c r="J3" s="757">
        <f>SUBTOTAL(9,J5:J10)</f>
        <v>3975000</v>
      </c>
      <c r="K3" s="955">
        <f>SUBTOTAL(9,K5:K10)</f>
        <v>4716022</v>
      </c>
      <c r="L3" s="777"/>
    </row>
    <row r="4" spans="1:13" s="759" customFormat="1" ht="21.75" customHeight="1" thickBot="1">
      <c r="A4" s="1052"/>
      <c r="B4" s="873" t="s">
        <v>472</v>
      </c>
      <c r="C4" s="873" t="s">
        <v>485</v>
      </c>
      <c r="D4" s="873" t="s">
        <v>479</v>
      </c>
      <c r="E4" s="874" t="s">
        <v>473</v>
      </c>
      <c r="F4" s="874" t="s">
        <v>474</v>
      </c>
      <c r="G4" s="874" t="s">
        <v>475</v>
      </c>
      <c r="H4" s="875" t="s">
        <v>476</v>
      </c>
      <c r="I4" s="876"/>
      <c r="J4" s="877" t="s">
        <v>480</v>
      </c>
      <c r="K4" s="878" t="s">
        <v>481</v>
      </c>
    </row>
    <row r="5" spans="1:13" s="592" customFormat="1" ht="14.25" thickBot="1">
      <c r="A5" s="892">
        <v>1</v>
      </c>
      <c r="B5" s="889"/>
      <c r="C5" s="888" t="s">
        <v>486</v>
      </c>
      <c r="D5" s="895" t="s">
        <v>754</v>
      </c>
      <c r="E5" s="960">
        <f>1800000*6</f>
        <v>10800000</v>
      </c>
      <c r="F5" s="961">
        <v>0</v>
      </c>
      <c r="G5" s="961">
        <v>0</v>
      </c>
      <c r="H5" s="962">
        <f t="shared" ref="H5:H10" si="0">SUM(E5,F5,G5)</f>
        <v>10800000</v>
      </c>
      <c r="I5" s="963"/>
      <c r="J5" s="756">
        <f t="shared" ref="J5:J10" si="1">H5/12</f>
        <v>900000</v>
      </c>
      <c r="K5" s="756">
        <f>H5*9.7%</f>
        <v>1047599.9999999999</v>
      </c>
    </row>
    <row r="6" spans="1:13" s="592" customFormat="1" ht="14.25" thickBot="1">
      <c r="A6" s="956">
        <v>2</v>
      </c>
      <c r="B6" s="957"/>
      <c r="C6" s="958" t="s">
        <v>486</v>
      </c>
      <c r="D6" s="959" t="s">
        <v>824</v>
      </c>
      <c r="E6" s="964">
        <f>1800000*6</f>
        <v>10800000</v>
      </c>
      <c r="F6" s="882"/>
      <c r="G6" s="882"/>
      <c r="H6" s="898">
        <f t="shared" si="0"/>
        <v>10800000</v>
      </c>
      <c r="I6" s="883"/>
      <c r="J6" s="901">
        <f t="shared" si="1"/>
        <v>900000</v>
      </c>
      <c r="K6" s="756">
        <f>H6*9.7%</f>
        <v>1047599.9999999999</v>
      </c>
    </row>
    <row r="7" spans="1:13" s="592" customFormat="1">
      <c r="A7" s="893">
        <v>3</v>
      </c>
      <c r="B7" s="890"/>
      <c r="C7" s="884" t="s">
        <v>486</v>
      </c>
      <c r="D7" s="896" t="s">
        <v>755</v>
      </c>
      <c r="E7" s="881">
        <f>1850000*6</f>
        <v>11100000</v>
      </c>
      <c r="F7" s="882">
        <v>0</v>
      </c>
      <c r="G7" s="882">
        <v>0</v>
      </c>
      <c r="H7" s="898">
        <f t="shared" si="0"/>
        <v>11100000</v>
      </c>
      <c r="I7" s="883"/>
      <c r="J7" s="899">
        <f t="shared" si="1"/>
        <v>925000</v>
      </c>
      <c r="K7" s="756">
        <v>1137796</v>
      </c>
    </row>
    <row r="8" spans="1:13" s="592" customFormat="1">
      <c r="A8" s="893">
        <v>4</v>
      </c>
      <c r="B8" s="890"/>
      <c r="C8" s="884" t="s">
        <v>830</v>
      </c>
      <c r="D8" s="896" t="s">
        <v>831</v>
      </c>
      <c r="E8" s="881">
        <v>0</v>
      </c>
      <c r="F8" s="882"/>
      <c r="G8" s="882"/>
      <c r="H8" s="898">
        <f t="shared" si="0"/>
        <v>0</v>
      </c>
      <c r="I8" s="883"/>
      <c r="J8" s="899">
        <f t="shared" si="1"/>
        <v>0</v>
      </c>
      <c r="K8" s="901">
        <f>H8*10.13%</f>
        <v>0</v>
      </c>
    </row>
    <row r="9" spans="1:13" s="759" customFormat="1">
      <c r="A9" s="893">
        <v>5</v>
      </c>
      <c r="B9" s="890"/>
      <c r="C9" s="885" t="s">
        <v>757</v>
      </c>
      <c r="D9" s="896" t="s">
        <v>756</v>
      </c>
      <c r="E9" s="881">
        <v>0</v>
      </c>
      <c r="F9" s="882">
        <v>0</v>
      </c>
      <c r="G9" s="882">
        <v>0</v>
      </c>
      <c r="H9" s="898">
        <f t="shared" si="0"/>
        <v>0</v>
      </c>
      <c r="I9" s="883"/>
      <c r="J9" s="899">
        <f t="shared" si="1"/>
        <v>0</v>
      </c>
      <c r="K9" s="901">
        <f>H9*10.13%</f>
        <v>0</v>
      </c>
    </row>
    <row r="10" spans="1:13" s="592" customFormat="1" ht="14.25" thickBot="1">
      <c r="A10" s="894">
        <v>6</v>
      </c>
      <c r="B10" s="891"/>
      <c r="C10" s="886" t="s">
        <v>513</v>
      </c>
      <c r="D10" s="897" t="s">
        <v>826</v>
      </c>
      <c r="E10" s="968">
        <f>2500000*6</f>
        <v>15000000</v>
      </c>
      <c r="F10" s="887"/>
      <c r="G10" s="887"/>
      <c r="H10" s="969">
        <f t="shared" si="0"/>
        <v>15000000</v>
      </c>
      <c r="I10" s="902"/>
      <c r="J10" s="900">
        <f t="shared" si="1"/>
        <v>1250000</v>
      </c>
      <c r="K10" s="900">
        <v>1483026</v>
      </c>
    </row>
    <row r="11" spans="1:13" ht="17.25" thickBot="1">
      <c r="A11" s="1044" t="s">
        <v>477</v>
      </c>
      <c r="B11" s="1045"/>
      <c r="C11" s="903"/>
      <c r="D11" s="905"/>
      <c r="E11" s="904">
        <f>SUM(E5:E10)</f>
        <v>47700000</v>
      </c>
      <c r="F11" s="967">
        <f>SUM(F5:F10)</f>
        <v>0</v>
      </c>
      <c r="G11" s="967">
        <f>SUM(G5:G10)</f>
        <v>0</v>
      </c>
      <c r="H11" s="904">
        <f>SUM(H5:H10)</f>
        <v>47700000</v>
      </c>
      <c r="I11" s="752"/>
      <c r="J11" s="879"/>
      <c r="K11" s="880"/>
    </row>
    <row r="13" spans="1:13">
      <c r="H13" s="749"/>
      <c r="I13" s="749"/>
    </row>
    <row r="23" ht="37.5" customHeight="1"/>
  </sheetData>
  <autoFilter ref="A4:K11"/>
  <mergeCells count="7">
    <mergeCell ref="A11:B11"/>
    <mergeCell ref="A1:H1"/>
    <mergeCell ref="B3:D3"/>
    <mergeCell ref="A2:B2"/>
    <mergeCell ref="F2:G2"/>
    <mergeCell ref="A3:A4"/>
    <mergeCell ref="E3:H3"/>
  </mergeCells>
  <phoneticPr fontId="2" type="noConversion"/>
  <pageMargins left="0.7" right="0.7" top="0.75" bottom="0.75" header="0.3" footer="0.3"/>
  <pageSetup paperSize="9" scale="74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87"/>
  <sheetViews>
    <sheetView view="pageBreakPreview" zoomScaleNormal="93" zoomScaleSheetLayoutView="100" workbookViewId="0">
      <selection activeCell="K37" sqref="K37"/>
    </sheetView>
  </sheetViews>
  <sheetFormatPr defaultColWidth="8.88671875" defaultRowHeight="12.95" customHeight="1"/>
  <cols>
    <col min="1" max="1" width="3.33203125" style="2" customWidth="1"/>
    <col min="2" max="2" width="3.5546875" style="2" customWidth="1"/>
    <col min="3" max="3" width="11.6640625" style="2" customWidth="1"/>
    <col min="4" max="4" width="5.88671875" style="133" customWidth="1"/>
    <col min="5" max="5" width="13.21875" style="826" customWidth="1"/>
    <col min="6" max="6" width="14.33203125" style="825" customWidth="1"/>
    <col min="7" max="7" width="10.44140625" style="117" customWidth="1"/>
    <col min="8" max="8" width="8.6640625" style="2" bestFit="1" customWidth="1"/>
    <col min="9" max="9" width="1.6640625" style="3" customWidth="1"/>
    <col min="10" max="10" width="1.5546875" style="3" customWidth="1"/>
    <col min="11" max="11" width="2.21875" style="4" customWidth="1"/>
    <col min="12" max="12" width="2.21875" style="2" customWidth="1"/>
    <col min="13" max="13" width="1.33203125" style="2" customWidth="1"/>
    <col min="14" max="14" width="3.44140625" style="458" bestFit="1" customWidth="1"/>
    <col min="15" max="15" width="1.88671875" style="2" customWidth="1"/>
    <col min="16" max="16" width="1.77734375" style="2" customWidth="1"/>
    <col min="17" max="17" width="12.88671875" style="27" customWidth="1"/>
    <col min="18" max="19" width="11.88671875" style="2" customWidth="1"/>
    <col min="20" max="20" width="9" style="2" bestFit="1" customWidth="1"/>
    <col min="21" max="21" width="11.6640625" style="2" bestFit="1" customWidth="1"/>
    <col min="22" max="16384" width="8.88671875" style="2"/>
  </cols>
  <sheetData>
    <row r="1" spans="1:21" ht="40.5" customHeight="1">
      <c r="A1" s="1080" t="s">
        <v>767</v>
      </c>
      <c r="B1" s="1080"/>
      <c r="C1" s="1080"/>
      <c r="D1" s="1080"/>
      <c r="E1" s="1080"/>
      <c r="F1" s="1080"/>
      <c r="G1" s="1080"/>
      <c r="H1" s="1080"/>
      <c r="I1" s="1080"/>
      <c r="J1" s="1080"/>
      <c r="K1" s="1080"/>
      <c r="L1" s="1080"/>
      <c r="M1" s="1080"/>
      <c r="N1" s="1080"/>
      <c r="O1" s="1080"/>
      <c r="P1" s="1080"/>
      <c r="Q1" s="1080"/>
      <c r="R1" s="402"/>
      <c r="S1" s="402"/>
      <c r="T1" s="402"/>
    </row>
    <row r="2" spans="1:21" ht="26.25" thickBot="1">
      <c r="A2" s="1111" t="s">
        <v>420</v>
      </c>
      <c r="B2" s="1111"/>
      <c r="C2" s="1111"/>
      <c r="D2" s="1110" t="s">
        <v>795</v>
      </c>
      <c r="E2" s="1110"/>
      <c r="F2" s="1110"/>
      <c r="G2" s="521"/>
      <c r="H2" s="522"/>
      <c r="I2" s="1098" t="str">
        <f>표제!A42</f>
        <v>YJ주야간보호센터</v>
      </c>
      <c r="J2" s="1098"/>
      <c r="K2" s="1098"/>
      <c r="L2" s="1098"/>
      <c r="M2" s="1098"/>
      <c r="N2" s="1098"/>
      <c r="O2" s="1098"/>
      <c r="P2" s="1098"/>
      <c r="Q2" s="1098"/>
      <c r="R2" s="1120" t="s">
        <v>184</v>
      </c>
      <c r="S2" s="1120"/>
      <c r="T2" s="1120"/>
    </row>
    <row r="3" spans="1:21" s="122" customFormat="1" ht="26.25" customHeight="1">
      <c r="A3" s="1159" t="s">
        <v>141</v>
      </c>
      <c r="B3" s="1160"/>
      <c r="C3" s="1160"/>
      <c r="D3" s="1102" t="s">
        <v>815</v>
      </c>
      <c r="E3" s="1102" t="s">
        <v>811</v>
      </c>
      <c r="F3" s="1104" t="s">
        <v>162</v>
      </c>
      <c r="G3" s="1123" t="s">
        <v>192</v>
      </c>
      <c r="H3" s="1124"/>
      <c r="I3" s="1124"/>
      <c r="J3" s="1124"/>
      <c r="K3" s="1124"/>
      <c r="L3" s="1124"/>
      <c r="M3" s="1124"/>
      <c r="N3" s="1124"/>
      <c r="O3" s="1124"/>
      <c r="P3" s="1124"/>
      <c r="Q3" s="1121" t="s">
        <v>191</v>
      </c>
      <c r="R3" s="1112" t="s">
        <v>186</v>
      </c>
      <c r="S3" s="1114" t="s">
        <v>496</v>
      </c>
      <c r="T3" s="1116" t="s">
        <v>187</v>
      </c>
    </row>
    <row r="4" spans="1:21" s="122" customFormat="1" ht="26.25" customHeight="1">
      <c r="A4" s="523" t="s">
        <v>138</v>
      </c>
      <c r="B4" s="483" t="s">
        <v>139</v>
      </c>
      <c r="C4" s="483" t="s">
        <v>140</v>
      </c>
      <c r="D4" s="1103"/>
      <c r="E4" s="1103"/>
      <c r="F4" s="1105"/>
      <c r="G4" s="1125"/>
      <c r="H4" s="1126"/>
      <c r="I4" s="1126"/>
      <c r="J4" s="1126"/>
      <c r="K4" s="1126"/>
      <c r="L4" s="1126"/>
      <c r="M4" s="1126"/>
      <c r="N4" s="1126"/>
      <c r="O4" s="1126"/>
      <c r="P4" s="1126"/>
      <c r="Q4" s="1122"/>
      <c r="R4" s="1113"/>
      <c r="S4" s="1115"/>
      <c r="T4" s="1117"/>
    </row>
    <row r="5" spans="1:21" ht="22.5" customHeight="1" thickBot="1">
      <c r="A5" s="1161" t="s">
        <v>30</v>
      </c>
      <c r="B5" s="1162"/>
      <c r="C5" s="1162"/>
      <c r="D5" s="948">
        <v>0</v>
      </c>
      <c r="E5" s="818">
        <f>E6+E42+E46+E50+E68+E64+E97+E103+E113+E121+E132</f>
        <v>108276200</v>
      </c>
      <c r="F5" s="819">
        <f>E5-D5</f>
        <v>108276200</v>
      </c>
      <c r="G5" s="125"/>
      <c r="H5" s="126"/>
      <c r="I5" s="126"/>
      <c r="J5" s="126"/>
      <c r="K5" s="126"/>
      <c r="L5" s="126"/>
      <c r="M5" s="126"/>
      <c r="N5" s="1088">
        <f>Q6+Q42+Q46+Q50+N68+Q64+Q97+Q103+Q113+Q121+Q132</f>
        <v>108276200</v>
      </c>
      <c r="O5" s="1088"/>
      <c r="P5" s="1088"/>
      <c r="Q5" s="1089"/>
      <c r="R5" s="405"/>
      <c r="S5" s="285"/>
      <c r="T5" s="285"/>
      <c r="U5" s="283"/>
    </row>
    <row r="6" spans="1:21" ht="23.25" customHeight="1">
      <c r="A6" s="1127" t="s">
        <v>43</v>
      </c>
      <c r="B6" s="1128"/>
      <c r="C6" s="1128"/>
      <c r="D6" s="949">
        <v>0</v>
      </c>
      <c r="E6" s="780">
        <f>E7+E37</f>
        <v>16378362</v>
      </c>
      <c r="F6" s="815">
        <f>E6-D6</f>
        <v>16378362</v>
      </c>
      <c r="G6" s="574"/>
      <c r="H6" s="575"/>
      <c r="I6" s="575"/>
      <c r="J6" s="575"/>
      <c r="K6" s="575"/>
      <c r="L6" s="575"/>
      <c r="M6" s="575"/>
      <c r="N6" s="576"/>
      <c r="O6" s="575"/>
      <c r="P6" s="575"/>
      <c r="Q6" s="834">
        <f>Q7+Q37</f>
        <v>16378362</v>
      </c>
      <c r="R6" s="405"/>
      <c r="S6" s="285"/>
      <c r="T6" s="285"/>
    </row>
    <row r="7" spans="1:21" ht="21" customHeight="1">
      <c r="A7" s="337"/>
      <c r="B7" s="1071" t="s">
        <v>35</v>
      </c>
      <c r="C7" s="1072"/>
      <c r="D7" s="950">
        <v>0</v>
      </c>
      <c r="E7" s="782">
        <f>E8+E34</f>
        <v>16378362</v>
      </c>
      <c r="F7" s="816">
        <f>E7-D7</f>
        <v>16378362</v>
      </c>
      <c r="G7" s="127"/>
      <c r="H7" s="128"/>
      <c r="I7" s="128"/>
      <c r="J7" s="128"/>
      <c r="K7" s="128"/>
      <c r="L7" s="128"/>
      <c r="M7" s="128"/>
      <c r="N7" s="438"/>
      <c r="O7" s="128"/>
      <c r="P7" s="128"/>
      <c r="Q7" s="613">
        <f>Q8+Q34+Q37</f>
        <v>16378362</v>
      </c>
      <c r="R7" s="405"/>
      <c r="S7" s="286"/>
      <c r="T7" s="285"/>
    </row>
    <row r="8" spans="1:21" ht="21" customHeight="1">
      <c r="A8" s="338"/>
      <c r="B8" s="7"/>
      <c r="C8" s="271" t="s">
        <v>424</v>
      </c>
      <c r="D8" s="785">
        <v>0</v>
      </c>
      <c r="E8" s="785">
        <f>Q8</f>
        <v>8890362</v>
      </c>
      <c r="F8" s="785">
        <f>E8-D8</f>
        <v>8890362</v>
      </c>
      <c r="G8" s="110" t="s">
        <v>425</v>
      </c>
      <c r="H8" s="136"/>
      <c r="I8" s="16"/>
      <c r="J8" s="1081">
        <v>8</v>
      </c>
      <c r="K8" s="1081"/>
      <c r="L8" s="1081"/>
      <c r="M8" s="16"/>
      <c r="N8" s="439"/>
      <c r="O8" s="16"/>
      <c r="P8" s="137"/>
      <c r="Q8" s="614">
        <f>SUM(Q9:Q33)</f>
        <v>8890362</v>
      </c>
      <c r="R8" s="520"/>
      <c r="S8" s="287">
        <f>Q8</f>
        <v>8890362</v>
      </c>
      <c r="T8" s="285"/>
    </row>
    <row r="9" spans="1:21" ht="24" customHeight="1">
      <c r="A9" s="338"/>
      <c r="B9" s="50"/>
      <c r="C9" s="273"/>
      <c r="D9" s="786"/>
      <c r="E9" s="786"/>
      <c r="F9" s="786"/>
      <c r="G9" s="763" t="s">
        <v>129</v>
      </c>
      <c r="H9" s="907">
        <f>64350*0.15</f>
        <v>9652.5</v>
      </c>
      <c r="I9" s="20" t="s">
        <v>0</v>
      </c>
      <c r="J9" s="20" t="s">
        <v>1</v>
      </c>
      <c r="K9" s="917">
        <v>0</v>
      </c>
      <c r="L9" s="20" t="s">
        <v>2</v>
      </c>
      <c r="M9" s="20" t="s">
        <v>1</v>
      </c>
      <c r="N9" s="924">
        <v>156</v>
      </c>
      <c r="O9" s="20" t="s">
        <v>179</v>
      </c>
      <c r="P9" s="20" t="s">
        <v>3</v>
      </c>
      <c r="Q9" s="509">
        <f t="shared" ref="Q9:Q20" si="0">(H9*K9)*N9</f>
        <v>0</v>
      </c>
      <c r="R9" s="405"/>
      <c r="S9" s="285"/>
      <c r="T9" s="285"/>
    </row>
    <row r="10" spans="1:21" ht="24" customHeight="1">
      <c r="A10" s="338"/>
      <c r="B10" s="50"/>
      <c r="C10" s="273"/>
      <c r="D10" s="786"/>
      <c r="E10" s="786"/>
      <c r="F10" s="786"/>
      <c r="G10" s="760" t="s">
        <v>769</v>
      </c>
      <c r="H10" s="908">
        <f>64350*0.09</f>
        <v>5791.5</v>
      </c>
      <c r="I10" s="22" t="s">
        <v>0</v>
      </c>
      <c r="J10" s="22" t="s">
        <v>1</v>
      </c>
      <c r="K10" s="906">
        <v>0</v>
      </c>
      <c r="L10" s="22" t="s">
        <v>2</v>
      </c>
      <c r="M10" s="22" t="s">
        <v>1</v>
      </c>
      <c r="N10" s="924">
        <v>156</v>
      </c>
      <c r="O10" s="22" t="s">
        <v>179</v>
      </c>
      <c r="P10" s="22" t="s">
        <v>3</v>
      </c>
      <c r="Q10" s="526">
        <f t="shared" si="0"/>
        <v>0</v>
      </c>
      <c r="R10" s="405"/>
      <c r="S10" s="285"/>
      <c r="T10" s="285"/>
    </row>
    <row r="11" spans="1:21" ht="24" customHeight="1">
      <c r="A11" s="338"/>
      <c r="B11" s="50"/>
      <c r="C11" s="273"/>
      <c r="D11" s="786"/>
      <c r="E11" s="786"/>
      <c r="F11" s="786"/>
      <c r="G11" s="760" t="s">
        <v>487</v>
      </c>
      <c r="H11" s="909">
        <f>64350*0.06</f>
        <v>3861</v>
      </c>
      <c r="I11" s="22" t="s">
        <v>0</v>
      </c>
      <c r="J11" s="22" t="s">
        <v>1</v>
      </c>
      <c r="K11" s="906">
        <v>0</v>
      </c>
      <c r="L11" s="22" t="s">
        <v>2</v>
      </c>
      <c r="M11" s="22" t="s">
        <v>1</v>
      </c>
      <c r="N11" s="924">
        <v>156</v>
      </c>
      <c r="O11" s="22" t="s">
        <v>179</v>
      </c>
      <c r="P11" s="22" t="s">
        <v>3</v>
      </c>
      <c r="Q11" s="526">
        <f>(H11*K11)*N11</f>
        <v>0</v>
      </c>
      <c r="R11" s="405"/>
      <c r="S11" s="285"/>
      <c r="T11" s="285"/>
    </row>
    <row r="12" spans="1:21" ht="24" customHeight="1">
      <c r="A12" s="338"/>
      <c r="B12" s="50"/>
      <c r="C12" s="273"/>
      <c r="D12" s="786"/>
      <c r="E12" s="786"/>
      <c r="F12" s="786"/>
      <c r="G12" s="761" t="s">
        <v>132</v>
      </c>
      <c r="H12" s="908">
        <v>0</v>
      </c>
      <c r="I12" s="22" t="s">
        <v>0</v>
      </c>
      <c r="J12" s="22" t="s">
        <v>1</v>
      </c>
      <c r="K12" s="918">
        <v>0</v>
      </c>
      <c r="L12" s="22" t="s">
        <v>2</v>
      </c>
      <c r="M12" s="22" t="s">
        <v>1</v>
      </c>
      <c r="N12" s="924">
        <v>156</v>
      </c>
      <c r="O12" s="22" t="s">
        <v>178</v>
      </c>
      <c r="P12" s="22" t="s">
        <v>3</v>
      </c>
      <c r="Q12" s="526">
        <f t="shared" si="0"/>
        <v>0</v>
      </c>
      <c r="R12" s="408"/>
      <c r="S12" s="285"/>
      <c r="T12" s="285"/>
    </row>
    <row r="13" spans="1:21" ht="24" customHeight="1">
      <c r="A13" s="338"/>
      <c r="B13" s="50"/>
      <c r="C13" s="273"/>
      <c r="D13" s="786"/>
      <c r="E13" s="786"/>
      <c r="F13" s="786"/>
      <c r="G13" s="760" t="s">
        <v>119</v>
      </c>
      <c r="H13" s="908">
        <f>59610*0.15</f>
        <v>8941.5</v>
      </c>
      <c r="I13" s="22" t="s">
        <v>0</v>
      </c>
      <c r="J13" s="22" t="s">
        <v>1</v>
      </c>
      <c r="K13" s="966">
        <v>0</v>
      </c>
      <c r="L13" s="22" t="s">
        <v>2</v>
      </c>
      <c r="M13" s="22" t="s">
        <v>1</v>
      </c>
      <c r="N13" s="924">
        <v>156</v>
      </c>
      <c r="O13" s="22" t="s">
        <v>178</v>
      </c>
      <c r="P13" s="22" t="s">
        <v>3</v>
      </c>
      <c r="Q13" s="526">
        <f t="shared" si="0"/>
        <v>0</v>
      </c>
      <c r="R13" s="405"/>
      <c r="S13" s="285"/>
      <c r="T13" s="285"/>
    </row>
    <row r="14" spans="1:21" ht="24" customHeight="1">
      <c r="A14" s="338"/>
      <c r="B14" s="50"/>
      <c r="C14" s="273"/>
      <c r="D14" s="786"/>
      <c r="E14" s="786"/>
      <c r="F14" s="786"/>
      <c r="G14" s="760" t="s">
        <v>770</v>
      </c>
      <c r="H14" s="908">
        <f>59610*0.09</f>
        <v>5364.9</v>
      </c>
      <c r="I14" s="22" t="s">
        <v>0</v>
      </c>
      <c r="J14" s="22" t="s">
        <v>1</v>
      </c>
      <c r="K14" s="906">
        <v>0</v>
      </c>
      <c r="L14" s="22" t="s">
        <v>2</v>
      </c>
      <c r="M14" s="22" t="s">
        <v>1</v>
      </c>
      <c r="N14" s="924">
        <v>156</v>
      </c>
      <c r="O14" s="22" t="s">
        <v>178</v>
      </c>
      <c r="P14" s="22" t="s">
        <v>3</v>
      </c>
      <c r="Q14" s="526">
        <f t="shared" si="0"/>
        <v>0</v>
      </c>
      <c r="R14" s="405"/>
      <c r="S14" s="285"/>
      <c r="T14" s="285"/>
    </row>
    <row r="15" spans="1:21" ht="24" customHeight="1">
      <c r="A15" s="338"/>
      <c r="B15" s="50"/>
      <c r="C15" s="273"/>
      <c r="D15" s="786"/>
      <c r="E15" s="786"/>
      <c r="F15" s="786"/>
      <c r="G15" s="760" t="s">
        <v>488</v>
      </c>
      <c r="H15" s="908">
        <f>59610*0.06</f>
        <v>3576.6</v>
      </c>
      <c r="I15" s="22" t="s">
        <v>0</v>
      </c>
      <c r="J15" s="22" t="s">
        <v>1</v>
      </c>
      <c r="K15" s="906">
        <v>0</v>
      </c>
      <c r="L15" s="22" t="s">
        <v>2</v>
      </c>
      <c r="M15" s="22" t="s">
        <v>1</v>
      </c>
      <c r="N15" s="924">
        <v>156</v>
      </c>
      <c r="O15" s="22" t="s">
        <v>178</v>
      </c>
      <c r="P15" s="22" t="s">
        <v>3</v>
      </c>
      <c r="Q15" s="526">
        <f>(H15*K15)*N15</f>
        <v>0</v>
      </c>
      <c r="R15" s="405"/>
      <c r="S15" s="285"/>
      <c r="T15" s="285"/>
    </row>
    <row r="16" spans="1:21" ht="24" customHeight="1">
      <c r="A16" s="338"/>
      <c r="B16" s="50"/>
      <c r="C16" s="273"/>
      <c r="D16" s="786"/>
      <c r="E16" s="786"/>
      <c r="F16" s="786"/>
      <c r="G16" s="761" t="s">
        <v>133</v>
      </c>
      <c r="H16" s="908">
        <v>0</v>
      </c>
      <c r="I16" s="22" t="s">
        <v>0</v>
      </c>
      <c r="J16" s="22" t="s">
        <v>1</v>
      </c>
      <c r="K16" s="918">
        <v>0</v>
      </c>
      <c r="L16" s="22" t="s">
        <v>2</v>
      </c>
      <c r="M16" s="22" t="s">
        <v>1</v>
      </c>
      <c r="N16" s="924">
        <v>156</v>
      </c>
      <c r="O16" s="22" t="s">
        <v>178</v>
      </c>
      <c r="P16" s="22" t="s">
        <v>3</v>
      </c>
      <c r="Q16" s="526">
        <f t="shared" si="0"/>
        <v>0</v>
      </c>
      <c r="R16" s="405"/>
      <c r="S16" s="285"/>
      <c r="T16" s="285"/>
    </row>
    <row r="17" spans="1:20" ht="24" customHeight="1">
      <c r="A17" s="338"/>
      <c r="B17" s="50"/>
      <c r="C17" s="273"/>
      <c r="D17" s="786"/>
      <c r="E17" s="786"/>
      <c r="F17" s="786"/>
      <c r="G17" s="760" t="s">
        <v>122</v>
      </c>
      <c r="H17" s="908">
        <f>55070*0.15</f>
        <v>8260.5</v>
      </c>
      <c r="I17" s="22" t="s">
        <v>0</v>
      </c>
      <c r="J17" s="22" t="s">
        <v>1</v>
      </c>
      <c r="K17" s="965">
        <v>3</v>
      </c>
      <c r="L17" s="22" t="s">
        <v>2</v>
      </c>
      <c r="M17" s="22" t="s">
        <v>1</v>
      </c>
      <c r="N17" s="924">
        <v>156</v>
      </c>
      <c r="O17" s="22" t="s">
        <v>178</v>
      </c>
      <c r="P17" s="22" t="s">
        <v>3</v>
      </c>
      <c r="Q17" s="526">
        <f>(H17*K17)*N17</f>
        <v>3865914</v>
      </c>
      <c r="R17" s="405"/>
      <c r="S17" s="285"/>
      <c r="T17" s="285"/>
    </row>
    <row r="18" spans="1:20" ht="24" customHeight="1">
      <c r="A18" s="338"/>
      <c r="B18" s="50"/>
      <c r="C18" s="273"/>
      <c r="D18" s="786"/>
      <c r="E18" s="786"/>
      <c r="F18" s="786"/>
      <c r="G18" s="760" t="s">
        <v>771</v>
      </c>
      <c r="H18" s="908">
        <f>55070*0.09</f>
        <v>4956.3</v>
      </c>
      <c r="I18" s="22" t="s">
        <v>0</v>
      </c>
      <c r="J18" s="22" t="s">
        <v>1</v>
      </c>
      <c r="K18" s="906">
        <v>0</v>
      </c>
      <c r="L18" s="22" t="s">
        <v>2</v>
      </c>
      <c r="M18" s="22" t="s">
        <v>1</v>
      </c>
      <c r="N18" s="924">
        <v>156</v>
      </c>
      <c r="O18" s="22" t="s">
        <v>178</v>
      </c>
      <c r="P18" s="22" t="s">
        <v>3</v>
      </c>
      <c r="Q18" s="526">
        <f t="shared" si="0"/>
        <v>0</v>
      </c>
      <c r="R18" s="405"/>
      <c r="S18" s="285"/>
      <c r="T18" s="285"/>
    </row>
    <row r="19" spans="1:20" ht="24" customHeight="1">
      <c r="A19" s="338"/>
      <c r="B19" s="50"/>
      <c r="C19" s="273"/>
      <c r="D19" s="786"/>
      <c r="E19" s="786"/>
      <c r="F19" s="786"/>
      <c r="G19" s="760" t="s">
        <v>489</v>
      </c>
      <c r="H19" s="908">
        <f>55070*0.06</f>
        <v>3304.2</v>
      </c>
      <c r="I19" s="22" t="s">
        <v>0</v>
      </c>
      <c r="J19" s="22" t="s">
        <v>1</v>
      </c>
      <c r="K19" s="906">
        <v>0</v>
      </c>
      <c r="L19" s="22" t="s">
        <v>2</v>
      </c>
      <c r="M19" s="22" t="s">
        <v>1</v>
      </c>
      <c r="N19" s="924">
        <v>156</v>
      </c>
      <c r="O19" s="22" t="s">
        <v>178</v>
      </c>
      <c r="P19" s="22" t="s">
        <v>3</v>
      </c>
      <c r="Q19" s="526">
        <f t="shared" si="0"/>
        <v>0</v>
      </c>
      <c r="R19" s="405"/>
      <c r="S19" s="285"/>
      <c r="T19" s="285"/>
    </row>
    <row r="20" spans="1:20" ht="24" customHeight="1">
      <c r="A20" s="338"/>
      <c r="B20" s="50"/>
      <c r="C20" s="273"/>
      <c r="D20" s="786"/>
      <c r="E20" s="786"/>
      <c r="F20" s="786"/>
      <c r="G20" s="761" t="s">
        <v>134</v>
      </c>
      <c r="H20" s="908">
        <v>0</v>
      </c>
      <c r="I20" s="22" t="s">
        <v>0</v>
      </c>
      <c r="J20" s="22" t="s">
        <v>1</v>
      </c>
      <c r="K20" s="918">
        <v>0</v>
      </c>
      <c r="L20" s="22" t="s">
        <v>2</v>
      </c>
      <c r="M20" s="22" t="s">
        <v>1</v>
      </c>
      <c r="N20" s="924">
        <v>156</v>
      </c>
      <c r="O20" s="22" t="s">
        <v>178</v>
      </c>
      <c r="P20" s="22" t="s">
        <v>3</v>
      </c>
      <c r="Q20" s="526">
        <f t="shared" si="0"/>
        <v>0</v>
      </c>
      <c r="R20" s="405"/>
      <c r="S20" s="285"/>
      <c r="T20" s="285"/>
    </row>
    <row r="21" spans="1:20" ht="24" customHeight="1">
      <c r="A21" s="338"/>
      <c r="B21" s="50"/>
      <c r="C21" s="273"/>
      <c r="D21" s="786"/>
      <c r="E21" s="786"/>
      <c r="F21" s="786"/>
      <c r="G21" s="760" t="s">
        <v>490</v>
      </c>
      <c r="H21" s="908">
        <f>53680*0.15</f>
        <v>8052</v>
      </c>
      <c r="I21" s="22" t="s">
        <v>0</v>
      </c>
      <c r="J21" s="22" t="s">
        <v>1</v>
      </c>
      <c r="K21" s="965">
        <v>3</v>
      </c>
      <c r="L21" s="22" t="s">
        <v>2</v>
      </c>
      <c r="M21" s="22" t="s">
        <v>1</v>
      </c>
      <c r="N21" s="924">
        <v>156</v>
      </c>
      <c r="O21" s="22" t="s">
        <v>178</v>
      </c>
      <c r="P21" s="22" t="s">
        <v>3</v>
      </c>
      <c r="Q21" s="526">
        <f>(H21*K21)*N21</f>
        <v>3768336</v>
      </c>
      <c r="R21" s="405"/>
      <c r="S21" s="285"/>
      <c r="T21" s="285"/>
    </row>
    <row r="22" spans="1:20" ht="24" customHeight="1">
      <c r="A22" s="338"/>
      <c r="B22" s="50"/>
      <c r="C22" s="273"/>
      <c r="D22" s="786"/>
      <c r="E22" s="786"/>
      <c r="F22" s="786"/>
      <c r="G22" s="760" t="s">
        <v>772</v>
      </c>
      <c r="H22" s="908">
        <f>53680*0.09</f>
        <v>4831.2</v>
      </c>
      <c r="I22" s="22" t="s">
        <v>0</v>
      </c>
      <c r="J22" s="22" t="s">
        <v>1</v>
      </c>
      <c r="K22" s="965">
        <v>1</v>
      </c>
      <c r="L22" s="22" t="s">
        <v>2</v>
      </c>
      <c r="M22" s="22" t="s">
        <v>1</v>
      </c>
      <c r="N22" s="924">
        <v>156</v>
      </c>
      <c r="O22" s="22" t="s">
        <v>178</v>
      </c>
      <c r="P22" s="22" t="s">
        <v>3</v>
      </c>
      <c r="Q22" s="526">
        <f>(H22*K22)*N22</f>
        <v>753667.2</v>
      </c>
      <c r="R22" s="405"/>
      <c r="S22" s="285"/>
      <c r="T22" s="285"/>
    </row>
    <row r="23" spans="1:20" ht="24" customHeight="1">
      <c r="A23" s="338"/>
      <c r="B23" s="50"/>
      <c r="C23" s="273"/>
      <c r="D23" s="786"/>
      <c r="E23" s="786"/>
      <c r="F23" s="786"/>
      <c r="G23" s="760" t="s">
        <v>491</v>
      </c>
      <c r="H23" s="908">
        <f>53680*0.06</f>
        <v>3220.7999999999997</v>
      </c>
      <c r="I23" s="22" t="s">
        <v>0</v>
      </c>
      <c r="J23" s="22" t="s">
        <v>1</v>
      </c>
      <c r="K23" s="965">
        <v>1</v>
      </c>
      <c r="L23" s="22" t="s">
        <v>2</v>
      </c>
      <c r="M23" s="22" t="s">
        <v>1</v>
      </c>
      <c r="N23" s="924">
        <v>156</v>
      </c>
      <c r="O23" s="22" t="s">
        <v>178</v>
      </c>
      <c r="P23" s="22" t="s">
        <v>3</v>
      </c>
      <c r="Q23" s="526">
        <f>(H23*K23)*N23</f>
        <v>502444.79999999993</v>
      </c>
      <c r="R23" s="405"/>
      <c r="S23" s="285"/>
      <c r="T23" s="285"/>
    </row>
    <row r="24" spans="1:20" ht="24" customHeight="1">
      <c r="A24" s="338"/>
      <c r="B24" s="50"/>
      <c r="C24" s="273"/>
      <c r="D24" s="786"/>
      <c r="E24" s="786"/>
      <c r="F24" s="786"/>
      <c r="G24" s="761" t="s">
        <v>250</v>
      </c>
      <c r="H24" s="908">
        <v>0</v>
      </c>
      <c r="I24" s="22" t="s">
        <v>0</v>
      </c>
      <c r="J24" s="22" t="s">
        <v>1</v>
      </c>
      <c r="K24" s="918">
        <v>0</v>
      </c>
      <c r="L24" s="22" t="s">
        <v>2</v>
      </c>
      <c r="M24" s="22" t="s">
        <v>1</v>
      </c>
      <c r="N24" s="924">
        <v>156</v>
      </c>
      <c r="O24" s="22" t="s">
        <v>178</v>
      </c>
      <c r="P24" s="22" t="s">
        <v>3</v>
      </c>
      <c r="Q24" s="526">
        <f t="shared" ref="Q24:Q33" si="1">(H24*K24)*N24</f>
        <v>0</v>
      </c>
      <c r="R24" s="405"/>
      <c r="S24" s="285"/>
      <c r="T24" s="285"/>
    </row>
    <row r="25" spans="1:20" ht="24" customHeight="1">
      <c r="A25" s="338"/>
      <c r="B25" s="50"/>
      <c r="C25" s="273"/>
      <c r="D25" s="786"/>
      <c r="E25" s="786"/>
      <c r="F25" s="786"/>
      <c r="G25" s="760" t="s">
        <v>269</v>
      </c>
      <c r="H25" s="908">
        <f>52320*0.15</f>
        <v>7848</v>
      </c>
      <c r="I25" s="22" t="s">
        <v>0</v>
      </c>
      <c r="J25" s="22" t="s">
        <v>1</v>
      </c>
      <c r="K25" s="966">
        <v>0</v>
      </c>
      <c r="L25" s="22" t="s">
        <v>2</v>
      </c>
      <c r="M25" s="22" t="s">
        <v>1</v>
      </c>
      <c r="N25" s="924">
        <v>156</v>
      </c>
      <c r="O25" s="22" t="s">
        <v>178</v>
      </c>
      <c r="P25" s="22" t="s">
        <v>3</v>
      </c>
      <c r="Q25" s="526">
        <f>(H25*K25)*N25</f>
        <v>0</v>
      </c>
      <c r="R25" s="405"/>
      <c r="S25" s="285"/>
      <c r="T25" s="285"/>
    </row>
    <row r="26" spans="1:20" ht="24" customHeight="1">
      <c r="A26" s="338"/>
      <c r="B26" s="50"/>
      <c r="C26" s="273"/>
      <c r="D26" s="786"/>
      <c r="E26" s="786"/>
      <c r="F26" s="786"/>
      <c r="G26" s="760" t="s">
        <v>773</v>
      </c>
      <c r="H26" s="908">
        <f>52320*0.09</f>
        <v>4708.8</v>
      </c>
      <c r="I26" s="22" t="s">
        <v>0</v>
      </c>
      <c r="J26" s="22" t="s">
        <v>1</v>
      </c>
      <c r="K26" s="906">
        <v>0</v>
      </c>
      <c r="L26" s="22" t="s">
        <v>2</v>
      </c>
      <c r="M26" s="22" t="s">
        <v>1</v>
      </c>
      <c r="N26" s="924">
        <v>156</v>
      </c>
      <c r="O26" s="22" t="s">
        <v>178</v>
      </c>
      <c r="P26" s="22" t="s">
        <v>3</v>
      </c>
      <c r="Q26" s="526">
        <f>(H26*K26)*N26</f>
        <v>0</v>
      </c>
      <c r="R26" s="405"/>
      <c r="S26" s="285"/>
      <c r="T26" s="285"/>
    </row>
    <row r="27" spans="1:20" ht="24" customHeight="1">
      <c r="A27" s="338"/>
      <c r="B27" s="50"/>
      <c r="C27" s="273"/>
      <c r="D27" s="786"/>
      <c r="E27" s="786"/>
      <c r="F27" s="786"/>
      <c r="G27" s="760" t="s">
        <v>492</v>
      </c>
      <c r="H27" s="908">
        <f>52320*0.06</f>
        <v>3139.2</v>
      </c>
      <c r="I27" s="22" t="s">
        <v>0</v>
      </c>
      <c r="J27" s="22" t="s">
        <v>1</v>
      </c>
      <c r="K27" s="906">
        <v>0</v>
      </c>
      <c r="L27" s="22" t="s">
        <v>2</v>
      </c>
      <c r="M27" s="22" t="s">
        <v>1</v>
      </c>
      <c r="N27" s="924">
        <v>156</v>
      </c>
      <c r="O27" s="22" t="s">
        <v>178</v>
      </c>
      <c r="P27" s="22" t="s">
        <v>3</v>
      </c>
      <c r="Q27" s="526">
        <f>(H27*K27)*N27</f>
        <v>0</v>
      </c>
      <c r="R27" s="405"/>
      <c r="S27" s="285"/>
      <c r="T27" s="285"/>
    </row>
    <row r="28" spans="1:20" ht="24" customHeight="1">
      <c r="A28" s="338"/>
      <c r="B28" s="50"/>
      <c r="C28" s="273"/>
      <c r="D28" s="786"/>
      <c r="E28" s="786"/>
      <c r="F28" s="786"/>
      <c r="G28" s="761" t="s">
        <v>271</v>
      </c>
      <c r="H28" s="908">
        <v>0</v>
      </c>
      <c r="I28" s="22" t="s">
        <v>0</v>
      </c>
      <c r="J28" s="22" t="s">
        <v>1</v>
      </c>
      <c r="K28" s="918">
        <v>0</v>
      </c>
      <c r="L28" s="22" t="s">
        <v>2</v>
      </c>
      <c r="M28" s="22" t="s">
        <v>1</v>
      </c>
      <c r="N28" s="924">
        <v>156</v>
      </c>
      <c r="O28" s="22" t="s">
        <v>178</v>
      </c>
      <c r="P28" s="22" t="s">
        <v>3</v>
      </c>
      <c r="Q28" s="526">
        <f t="shared" si="1"/>
        <v>0</v>
      </c>
      <c r="R28" s="405"/>
      <c r="S28" s="285"/>
      <c r="T28" s="285"/>
    </row>
    <row r="29" spans="1:20" ht="24" customHeight="1">
      <c r="A29" s="338"/>
      <c r="B29" s="50"/>
      <c r="C29" s="273"/>
      <c r="D29" s="786"/>
      <c r="E29" s="786"/>
      <c r="F29" s="786"/>
      <c r="G29" s="761" t="s">
        <v>494</v>
      </c>
      <c r="H29" s="908">
        <f>47210*15%</f>
        <v>7081.5</v>
      </c>
      <c r="I29" s="22" t="s">
        <v>0</v>
      </c>
      <c r="J29" s="22" t="s">
        <v>1</v>
      </c>
      <c r="K29" s="906">
        <v>0</v>
      </c>
      <c r="L29" s="22" t="s">
        <v>2</v>
      </c>
      <c r="M29" s="22" t="s">
        <v>1</v>
      </c>
      <c r="N29" s="924">
        <v>156</v>
      </c>
      <c r="O29" s="22" t="s">
        <v>179</v>
      </c>
      <c r="P29" s="22" t="s">
        <v>3</v>
      </c>
      <c r="Q29" s="526">
        <f>(H29*K29)*N29</f>
        <v>0</v>
      </c>
      <c r="R29" s="405"/>
      <c r="S29" s="285"/>
      <c r="T29" s="285"/>
    </row>
    <row r="30" spans="1:20" ht="24" customHeight="1">
      <c r="A30" s="338"/>
      <c r="B30" s="50"/>
      <c r="C30" s="273"/>
      <c r="D30" s="786"/>
      <c r="E30" s="786"/>
      <c r="F30" s="786"/>
      <c r="G30" s="761" t="s">
        <v>790</v>
      </c>
      <c r="H30" s="908">
        <f>47210*0.09</f>
        <v>4248.8999999999996</v>
      </c>
      <c r="I30" s="22" t="s">
        <v>0</v>
      </c>
      <c r="J30" s="22" t="s">
        <v>1</v>
      </c>
      <c r="K30" s="906">
        <v>0</v>
      </c>
      <c r="L30" s="22" t="s">
        <v>2</v>
      </c>
      <c r="M30" s="22" t="s">
        <v>1</v>
      </c>
      <c r="N30" s="924">
        <v>156</v>
      </c>
      <c r="O30" s="22" t="s">
        <v>808</v>
      </c>
      <c r="P30" s="22" t="s">
        <v>3</v>
      </c>
      <c r="Q30" s="526">
        <f>(H30*K30)*N30</f>
        <v>0</v>
      </c>
      <c r="R30" s="405"/>
      <c r="S30" s="285"/>
      <c r="T30" s="285"/>
    </row>
    <row r="31" spans="1:20" ht="24" customHeight="1">
      <c r="A31" s="338"/>
      <c r="B31" s="50"/>
      <c r="C31" s="273"/>
      <c r="D31" s="786"/>
      <c r="E31" s="786"/>
      <c r="F31" s="786"/>
      <c r="G31" s="761" t="s">
        <v>493</v>
      </c>
      <c r="H31" s="908">
        <f>47210*0.06</f>
        <v>2832.6</v>
      </c>
      <c r="I31" s="22" t="s">
        <v>0</v>
      </c>
      <c r="J31" s="22" t="s">
        <v>1</v>
      </c>
      <c r="K31" s="906">
        <v>0</v>
      </c>
      <c r="L31" s="22" t="s">
        <v>2</v>
      </c>
      <c r="M31" s="22" t="s">
        <v>1</v>
      </c>
      <c r="N31" s="925">
        <v>72</v>
      </c>
      <c r="O31" s="22" t="s">
        <v>808</v>
      </c>
      <c r="P31" s="22" t="s">
        <v>3</v>
      </c>
      <c r="Q31" s="526">
        <f t="shared" si="1"/>
        <v>0</v>
      </c>
      <c r="R31" s="405"/>
      <c r="S31" s="285"/>
      <c r="T31" s="285"/>
    </row>
    <row r="32" spans="1:20" ht="24" customHeight="1">
      <c r="A32" s="338"/>
      <c r="B32" s="50"/>
      <c r="C32" s="273"/>
      <c r="D32" s="786"/>
      <c r="E32" s="786"/>
      <c r="F32" s="786"/>
      <c r="G32" s="762" t="s">
        <v>495</v>
      </c>
      <c r="H32" s="908">
        <v>0</v>
      </c>
      <c r="I32" s="22" t="s">
        <v>0</v>
      </c>
      <c r="J32" s="22" t="s">
        <v>1</v>
      </c>
      <c r="K32" s="918">
        <v>0</v>
      </c>
      <c r="L32" s="22" t="s">
        <v>2</v>
      </c>
      <c r="M32" s="22" t="s">
        <v>1</v>
      </c>
      <c r="N32" s="926">
        <v>72</v>
      </c>
      <c r="O32" s="22" t="s">
        <v>808</v>
      </c>
      <c r="P32" s="22" t="s">
        <v>3</v>
      </c>
      <c r="Q32" s="526">
        <f t="shared" si="1"/>
        <v>0</v>
      </c>
      <c r="R32" s="405"/>
      <c r="S32" s="285"/>
      <c r="T32" s="285"/>
    </row>
    <row r="33" spans="1:20" ht="24" customHeight="1">
      <c r="A33" s="338"/>
      <c r="B33" s="50"/>
      <c r="C33" s="273"/>
      <c r="D33" s="786"/>
      <c r="E33" s="786"/>
      <c r="F33" s="786"/>
      <c r="G33" s="269" t="s">
        <v>283</v>
      </c>
      <c r="H33" s="910">
        <v>0</v>
      </c>
      <c r="I33" s="1090" t="s">
        <v>137</v>
      </c>
      <c r="J33" s="1090"/>
      <c r="K33" s="919">
        <v>0</v>
      </c>
      <c r="L33" s="19" t="s">
        <v>2</v>
      </c>
      <c r="M33" s="19" t="s">
        <v>1</v>
      </c>
      <c r="N33" s="927">
        <v>0</v>
      </c>
      <c r="O33" s="19" t="s">
        <v>179</v>
      </c>
      <c r="P33" s="19" t="s">
        <v>3</v>
      </c>
      <c r="Q33" s="527">
        <f t="shared" si="1"/>
        <v>0</v>
      </c>
      <c r="R33" s="405"/>
      <c r="S33" s="285"/>
      <c r="T33" s="285"/>
    </row>
    <row r="34" spans="1:20" ht="24" customHeight="1">
      <c r="A34" s="338"/>
      <c r="B34" s="50"/>
      <c r="C34" s="1091" t="s">
        <v>180</v>
      </c>
      <c r="D34" s="1063">
        <v>0</v>
      </c>
      <c r="E34" s="1079">
        <f>Q34</f>
        <v>7488000</v>
      </c>
      <c r="F34" s="1063">
        <f>E34-D34</f>
        <v>7488000</v>
      </c>
      <c r="G34" s="110" t="s">
        <v>135</v>
      </c>
      <c r="H34" s="907"/>
      <c r="I34" s="16"/>
      <c r="J34" s="16"/>
      <c r="K34" s="920"/>
      <c r="L34" s="16"/>
      <c r="M34" s="16"/>
      <c r="N34" s="928"/>
      <c r="O34" s="16"/>
      <c r="P34" s="16" t="s">
        <v>3</v>
      </c>
      <c r="Q34" s="615">
        <f>Q36+Q35</f>
        <v>7488000</v>
      </c>
      <c r="R34" s="405"/>
      <c r="S34" s="287">
        <f>Q34</f>
        <v>7488000</v>
      </c>
      <c r="T34" s="285"/>
    </row>
    <row r="35" spans="1:20" ht="24" customHeight="1">
      <c r="A35" s="338"/>
      <c r="B35" s="50"/>
      <c r="C35" s="1092"/>
      <c r="D35" s="1077"/>
      <c r="E35" s="1079"/>
      <c r="F35" s="1077"/>
      <c r="G35" s="140" t="s">
        <v>136</v>
      </c>
      <c r="H35" s="911">
        <v>6000</v>
      </c>
      <c r="I35" s="54" t="s">
        <v>0</v>
      </c>
      <c r="J35" s="54" t="s">
        <v>1</v>
      </c>
      <c r="K35" s="921">
        <v>8</v>
      </c>
      <c r="L35" s="54" t="s">
        <v>2</v>
      </c>
      <c r="M35" s="54" t="s">
        <v>1</v>
      </c>
      <c r="N35" s="929">
        <v>156</v>
      </c>
      <c r="O35" s="54" t="s">
        <v>179</v>
      </c>
      <c r="P35" s="54" t="s">
        <v>3</v>
      </c>
      <c r="Q35" s="511">
        <f>(H35*K35)*N35</f>
        <v>7488000</v>
      </c>
      <c r="R35" s="405"/>
      <c r="S35" s="285"/>
      <c r="T35" s="285"/>
    </row>
    <row r="36" spans="1:20" ht="24" customHeight="1">
      <c r="A36" s="338"/>
      <c r="B36" s="50"/>
      <c r="C36" s="1093"/>
      <c r="D36" s="1078"/>
      <c r="E36" s="1079"/>
      <c r="F36" s="1078"/>
      <c r="G36" s="140" t="s">
        <v>183</v>
      </c>
      <c r="H36" s="912">
        <v>0</v>
      </c>
      <c r="I36" s="54" t="s">
        <v>0</v>
      </c>
      <c r="J36" s="54" t="s">
        <v>1</v>
      </c>
      <c r="K36" s="921">
        <v>8</v>
      </c>
      <c r="L36" s="54" t="s">
        <v>2</v>
      </c>
      <c r="M36" s="54" t="s">
        <v>1</v>
      </c>
      <c r="N36" s="929">
        <v>156</v>
      </c>
      <c r="O36" s="54" t="s">
        <v>179</v>
      </c>
      <c r="P36" s="54" t="s">
        <v>3</v>
      </c>
      <c r="Q36" s="511">
        <f>(H36*K36)*N36</f>
        <v>0</v>
      </c>
      <c r="R36" s="405"/>
      <c r="S36" s="285"/>
      <c r="T36" s="285"/>
    </row>
    <row r="37" spans="1:20" ht="24" customHeight="1">
      <c r="A37" s="338"/>
      <c r="B37" s="1097" t="s">
        <v>121</v>
      </c>
      <c r="C37" s="1097"/>
      <c r="D37" s="820">
        <v>0</v>
      </c>
      <c r="E37" s="820">
        <f>E38+E40</f>
        <v>0</v>
      </c>
      <c r="F37" s="816">
        <f>E37-D37</f>
        <v>0</v>
      </c>
      <c r="G37" s="104"/>
      <c r="H37" s="913"/>
      <c r="I37" s="19"/>
      <c r="J37" s="19"/>
      <c r="K37" s="919"/>
      <c r="L37" s="19"/>
      <c r="M37" s="19"/>
      <c r="N37" s="930"/>
      <c r="O37" s="19"/>
      <c r="P37" s="19"/>
      <c r="Q37" s="528">
        <f>Q38+Q40</f>
        <v>0</v>
      </c>
      <c r="R37" s="405"/>
      <c r="S37" s="287">
        <f>Q37</f>
        <v>0</v>
      </c>
      <c r="T37" s="285"/>
    </row>
    <row r="38" spans="1:20" ht="24" customHeight="1">
      <c r="A38" s="338"/>
      <c r="B38" s="50"/>
      <c r="C38" s="1091" t="s">
        <v>181</v>
      </c>
      <c r="D38" s="1063">
        <v>0</v>
      </c>
      <c r="E38" s="1079">
        <f>Q38</f>
        <v>0</v>
      </c>
      <c r="F38" s="1063">
        <f>E38-D38</f>
        <v>0</v>
      </c>
      <c r="G38" s="320" t="s">
        <v>38</v>
      </c>
      <c r="H38" s="914"/>
      <c r="I38" s="20"/>
      <c r="J38" s="20"/>
      <c r="K38" s="917"/>
      <c r="L38" s="20"/>
      <c r="M38" s="20"/>
      <c r="N38" s="924"/>
      <c r="O38" s="20"/>
      <c r="P38" s="20" t="s">
        <v>3</v>
      </c>
      <c r="Q38" s="529">
        <f>Q39</f>
        <v>0</v>
      </c>
      <c r="R38" s="405"/>
      <c r="S38" s="285"/>
      <c r="T38" s="285"/>
    </row>
    <row r="39" spans="1:20" ht="24" customHeight="1">
      <c r="A39" s="338"/>
      <c r="B39" s="50"/>
      <c r="C39" s="1093"/>
      <c r="D39" s="1078"/>
      <c r="E39" s="1079"/>
      <c r="F39" s="1078"/>
      <c r="G39" s="321" t="s">
        <v>60</v>
      </c>
      <c r="H39" s="915">
        <v>0</v>
      </c>
      <c r="I39" s="12" t="s">
        <v>0</v>
      </c>
      <c r="J39" s="12" t="s">
        <v>1</v>
      </c>
      <c r="K39" s="922">
        <v>0</v>
      </c>
      <c r="L39" s="12" t="s">
        <v>2</v>
      </c>
      <c r="M39" s="12" t="s">
        <v>1</v>
      </c>
      <c r="N39" s="927">
        <v>0</v>
      </c>
      <c r="O39" s="12" t="s">
        <v>258</v>
      </c>
      <c r="P39" s="12" t="s">
        <v>3</v>
      </c>
      <c r="Q39" s="510">
        <f>(H39*K39)*N39</f>
        <v>0</v>
      </c>
      <c r="R39" s="405"/>
      <c r="S39" s="285"/>
      <c r="T39" s="285"/>
    </row>
    <row r="40" spans="1:20" ht="24" customHeight="1">
      <c r="A40" s="338"/>
      <c r="B40" s="50"/>
      <c r="C40" s="1091" t="s">
        <v>182</v>
      </c>
      <c r="D40" s="1063">
        <v>0</v>
      </c>
      <c r="E40" s="1079">
        <f>Q40</f>
        <v>0</v>
      </c>
      <c r="F40" s="1063">
        <f>E40-D40</f>
        <v>0</v>
      </c>
      <c r="G40" s="322" t="s">
        <v>39</v>
      </c>
      <c r="H40" s="907"/>
      <c r="I40" s="16"/>
      <c r="J40" s="16"/>
      <c r="K40" s="920"/>
      <c r="L40" s="16"/>
      <c r="M40" s="16"/>
      <c r="N40" s="928"/>
      <c r="O40" s="16"/>
      <c r="P40" s="16" t="s">
        <v>3</v>
      </c>
      <c r="Q40" s="530">
        <f>Q41</f>
        <v>0</v>
      </c>
      <c r="R40" s="405"/>
      <c r="S40" s="285"/>
      <c r="T40" s="285"/>
    </row>
    <row r="41" spans="1:20" ht="24" customHeight="1" thickBot="1">
      <c r="A41" s="561"/>
      <c r="B41" s="83"/>
      <c r="C41" s="1148"/>
      <c r="D41" s="1064"/>
      <c r="E41" s="1096"/>
      <c r="F41" s="1064"/>
      <c r="G41" s="577" t="s">
        <v>228</v>
      </c>
      <c r="H41" s="916">
        <v>0</v>
      </c>
      <c r="I41" s="372" t="s">
        <v>0</v>
      </c>
      <c r="J41" s="372" t="s">
        <v>1</v>
      </c>
      <c r="K41" s="923">
        <v>0</v>
      </c>
      <c r="L41" s="372" t="s">
        <v>2</v>
      </c>
      <c r="M41" s="372" t="s">
        <v>1</v>
      </c>
      <c r="N41" s="931">
        <v>0</v>
      </c>
      <c r="O41" s="372" t="s">
        <v>258</v>
      </c>
      <c r="P41" s="372" t="s">
        <v>3</v>
      </c>
      <c r="Q41" s="519">
        <f>(H41*K41)*N41</f>
        <v>0</v>
      </c>
      <c r="R41" s="405"/>
      <c r="S41" s="285"/>
      <c r="T41" s="285"/>
    </row>
    <row r="42" spans="1:20" ht="24" customHeight="1">
      <c r="A42" s="1149" t="s">
        <v>42</v>
      </c>
      <c r="B42" s="1150"/>
      <c r="C42" s="1150"/>
      <c r="D42" s="951">
        <v>0</v>
      </c>
      <c r="E42" s="812">
        <f>E43</f>
        <v>0</v>
      </c>
      <c r="F42" s="821">
        <f>E42-D42</f>
        <v>0</v>
      </c>
      <c r="G42" s="74"/>
      <c r="H42" s="65"/>
      <c r="I42" s="65"/>
      <c r="J42" s="65"/>
      <c r="K42" s="65"/>
      <c r="L42" s="65"/>
      <c r="M42" s="65"/>
      <c r="N42" s="456"/>
      <c r="O42" s="65"/>
      <c r="P42" s="65"/>
      <c r="Q42" s="835">
        <f>Q43</f>
        <v>0</v>
      </c>
      <c r="R42" s="405"/>
      <c r="S42" s="285"/>
      <c r="T42" s="285"/>
    </row>
    <row r="43" spans="1:20" ht="24" customHeight="1">
      <c r="A43" s="338"/>
      <c r="B43" s="1097" t="s">
        <v>40</v>
      </c>
      <c r="C43" s="1097"/>
      <c r="D43" s="820">
        <v>0</v>
      </c>
      <c r="E43" s="782">
        <f>E44</f>
        <v>0</v>
      </c>
      <c r="F43" s="816">
        <f>E43-D43</f>
        <v>0</v>
      </c>
      <c r="G43" s="124"/>
      <c r="H43" s="18"/>
      <c r="I43" s="18"/>
      <c r="J43" s="18"/>
      <c r="K43" s="18"/>
      <c r="L43" s="18"/>
      <c r="M43" s="18"/>
      <c r="N43" s="446"/>
      <c r="O43" s="18"/>
      <c r="P43" s="18"/>
      <c r="Q43" s="531">
        <f>Q44</f>
        <v>0</v>
      </c>
      <c r="R43" s="405"/>
      <c r="S43" s="285"/>
      <c r="T43" s="285"/>
    </row>
    <row r="44" spans="1:20" ht="24" customHeight="1">
      <c r="A44" s="350"/>
      <c r="B44" s="57"/>
      <c r="C44" s="1166" t="s">
        <v>41</v>
      </c>
      <c r="D44" s="1067">
        <v>0</v>
      </c>
      <c r="E44" s="1079">
        <f>Q44</f>
        <v>0</v>
      </c>
      <c r="F44" s="1063">
        <f>E44-D44</f>
        <v>0</v>
      </c>
      <c r="G44" s="141" t="s">
        <v>57</v>
      </c>
      <c r="H44" s="143"/>
      <c r="I44" s="71"/>
      <c r="J44" s="71"/>
      <c r="K44" s="144"/>
      <c r="L44" s="71"/>
      <c r="M44" s="71"/>
      <c r="N44" s="447"/>
      <c r="O44" s="20"/>
      <c r="P44" s="20" t="s">
        <v>3</v>
      </c>
      <c r="Q44" s="509">
        <f>Q45</f>
        <v>0</v>
      </c>
      <c r="R44" s="405"/>
      <c r="S44" s="285"/>
      <c r="T44" s="285"/>
    </row>
    <row r="45" spans="1:20" ht="24" customHeight="1" thickBot="1">
      <c r="A45" s="350"/>
      <c r="B45" s="563"/>
      <c r="C45" s="1106"/>
      <c r="D45" s="1074"/>
      <c r="E45" s="1063"/>
      <c r="F45" s="1077"/>
      <c r="G45" s="321" t="s">
        <v>259</v>
      </c>
      <c r="H45" s="932">
        <v>0</v>
      </c>
      <c r="I45" s="12" t="s">
        <v>0</v>
      </c>
      <c r="J45" s="12" t="s">
        <v>1</v>
      </c>
      <c r="K45" s="933">
        <v>0</v>
      </c>
      <c r="L45" s="12" t="s">
        <v>2</v>
      </c>
      <c r="M45" s="12" t="s">
        <v>1</v>
      </c>
      <c r="N45" s="934">
        <v>0</v>
      </c>
      <c r="O45" s="12" t="s">
        <v>258</v>
      </c>
      <c r="P45" s="12" t="s">
        <v>3</v>
      </c>
      <c r="Q45" s="510">
        <f>(H45*K45)*N45</f>
        <v>0</v>
      </c>
      <c r="R45" s="405"/>
      <c r="S45" s="285"/>
      <c r="T45" s="285"/>
    </row>
    <row r="46" spans="1:20" ht="24" customHeight="1">
      <c r="A46" s="1099" t="s">
        <v>46</v>
      </c>
      <c r="B46" s="1100"/>
      <c r="C46" s="1101"/>
      <c r="D46" s="949">
        <v>0</v>
      </c>
      <c r="E46" s="780">
        <f>E47</f>
        <v>0</v>
      </c>
      <c r="F46" s="815">
        <f>E46-D46</f>
        <v>0</v>
      </c>
      <c r="G46" s="568"/>
      <c r="H46" s="569"/>
      <c r="I46" s="569"/>
      <c r="J46" s="569"/>
      <c r="K46" s="569"/>
      <c r="L46" s="569"/>
      <c r="M46" s="569"/>
      <c r="N46" s="570"/>
      <c r="O46" s="569"/>
      <c r="P46" s="569"/>
      <c r="Q46" s="836">
        <f>Q47</f>
        <v>0</v>
      </c>
      <c r="R46" s="405"/>
      <c r="S46" s="287">
        <f>Q46</f>
        <v>0</v>
      </c>
      <c r="T46" s="285"/>
    </row>
    <row r="47" spans="1:20" ht="24" customHeight="1">
      <c r="A47" s="338"/>
      <c r="B47" s="1164" t="s">
        <v>44</v>
      </c>
      <c r="C47" s="1165"/>
      <c r="D47" s="820">
        <v>0</v>
      </c>
      <c r="E47" s="782">
        <f>E48</f>
        <v>0</v>
      </c>
      <c r="F47" s="816">
        <f>E47-D47</f>
        <v>0</v>
      </c>
      <c r="G47" s="114"/>
      <c r="H47" s="123"/>
      <c r="I47" s="123"/>
      <c r="J47" s="123"/>
      <c r="K47" s="123"/>
      <c r="L47" s="123"/>
      <c r="M47" s="123"/>
      <c r="N47" s="448"/>
      <c r="O47" s="123"/>
      <c r="P47" s="19"/>
      <c r="Q47" s="531">
        <f>Q48</f>
        <v>0</v>
      </c>
      <c r="R47" s="405"/>
      <c r="S47" s="285"/>
      <c r="T47" s="285"/>
    </row>
    <row r="48" spans="1:20" ht="24" customHeight="1">
      <c r="A48" s="350"/>
      <c r="B48" s="5"/>
      <c r="C48" s="1106" t="s">
        <v>45</v>
      </c>
      <c r="D48" s="1067">
        <v>0</v>
      </c>
      <c r="E48" s="1079">
        <f>Q48</f>
        <v>0</v>
      </c>
      <c r="F48" s="1063">
        <f>E48-D48</f>
        <v>0</v>
      </c>
      <c r="G48" s="110" t="s">
        <v>252</v>
      </c>
      <c r="H48" s="68"/>
      <c r="I48" s="16"/>
      <c r="J48" s="16"/>
      <c r="K48" s="35"/>
      <c r="L48" s="17"/>
      <c r="M48" s="17"/>
      <c r="N48" s="439"/>
      <c r="O48" s="16"/>
      <c r="P48" s="16" t="s">
        <v>3</v>
      </c>
      <c r="Q48" s="525">
        <f>Q49</f>
        <v>0</v>
      </c>
      <c r="R48" s="405"/>
      <c r="S48" s="285"/>
      <c r="T48" s="285"/>
    </row>
    <row r="49" spans="1:20" ht="24" customHeight="1" thickBot="1">
      <c r="A49" s="351"/>
      <c r="B49" s="572"/>
      <c r="C49" s="1107"/>
      <c r="D49" s="1163"/>
      <c r="E49" s="1096"/>
      <c r="F49" s="1064"/>
      <c r="G49" s="562" t="s">
        <v>253</v>
      </c>
      <c r="H49" s="935">
        <v>0</v>
      </c>
      <c r="I49" s="372" t="s">
        <v>89</v>
      </c>
      <c r="J49" s="372"/>
      <c r="K49" s="516"/>
      <c r="L49" s="517"/>
      <c r="M49" s="517"/>
      <c r="N49" s="518"/>
      <c r="O49" s="372"/>
      <c r="P49" s="372" t="s">
        <v>3</v>
      </c>
      <c r="Q49" s="519">
        <f>H49</f>
        <v>0</v>
      </c>
      <c r="R49" s="405"/>
      <c r="S49" s="285"/>
      <c r="T49" s="285"/>
    </row>
    <row r="50" spans="1:20" ht="24" customHeight="1">
      <c r="A50" s="1145" t="s">
        <v>61</v>
      </c>
      <c r="B50" s="1146"/>
      <c r="C50" s="1147"/>
      <c r="D50" s="951">
        <v>0</v>
      </c>
      <c r="E50" s="812">
        <f>E51</f>
        <v>0</v>
      </c>
      <c r="F50" s="821">
        <f>E50-D50</f>
        <v>0</v>
      </c>
      <c r="G50" s="564"/>
      <c r="H50" s="565"/>
      <c r="I50" s="565"/>
      <c r="J50" s="565"/>
      <c r="K50" s="565"/>
      <c r="L50" s="565"/>
      <c r="M50" s="565"/>
      <c r="N50" s="566"/>
      <c r="O50" s="565"/>
      <c r="P50" s="565"/>
      <c r="Q50" s="837">
        <f>Q51</f>
        <v>0</v>
      </c>
      <c r="R50" s="405"/>
      <c r="S50" s="285"/>
      <c r="T50" s="285"/>
    </row>
    <row r="51" spans="1:20" ht="24" customHeight="1">
      <c r="A51" s="337"/>
      <c r="B51" s="1071" t="s">
        <v>47</v>
      </c>
      <c r="C51" s="1072"/>
      <c r="D51" s="820">
        <v>0</v>
      </c>
      <c r="E51" s="782">
        <f>E52+E54+E59+E61</f>
        <v>0</v>
      </c>
      <c r="F51" s="816">
        <f>E51-D51</f>
        <v>0</v>
      </c>
      <c r="G51" s="129"/>
      <c r="H51" s="123"/>
      <c r="I51" s="123"/>
      <c r="J51" s="123"/>
      <c r="K51" s="123"/>
      <c r="L51" s="123"/>
      <c r="M51" s="123"/>
      <c r="N51" s="448"/>
      <c r="O51" s="123"/>
      <c r="P51" s="123"/>
      <c r="Q51" s="616">
        <f>Q52+Q54+Q59+Q61</f>
        <v>0</v>
      </c>
      <c r="R51" s="408"/>
      <c r="S51" s="285"/>
      <c r="T51" s="285"/>
    </row>
    <row r="52" spans="1:20" ht="24" customHeight="1">
      <c r="A52" s="346"/>
      <c r="B52" s="5"/>
      <c r="C52" s="1091" t="s">
        <v>49</v>
      </c>
      <c r="D52" s="1063">
        <v>0</v>
      </c>
      <c r="E52" s="1079">
        <f>Q52</f>
        <v>0</v>
      </c>
      <c r="F52" s="1063">
        <f>E52-D52</f>
        <v>0</v>
      </c>
      <c r="G52" s="146" t="s">
        <v>50</v>
      </c>
      <c r="H52" s="69"/>
      <c r="I52" s="147"/>
      <c r="J52" s="147"/>
      <c r="K52" s="147"/>
      <c r="L52" s="147"/>
      <c r="M52" s="147"/>
      <c r="N52" s="450"/>
      <c r="O52" s="147"/>
      <c r="P52" s="147"/>
      <c r="Q52" s="617">
        <f>Q53</f>
        <v>0</v>
      </c>
      <c r="R52" s="408">
        <f>Q52</f>
        <v>0</v>
      </c>
      <c r="S52" s="285"/>
      <c r="T52" s="285"/>
    </row>
    <row r="53" spans="1:20" ht="24" customHeight="1">
      <c r="A53" s="346"/>
      <c r="B53" s="67"/>
      <c r="C53" s="1093"/>
      <c r="D53" s="1078"/>
      <c r="E53" s="1079"/>
      <c r="F53" s="1078"/>
      <c r="G53" s="111" t="s">
        <v>59</v>
      </c>
      <c r="H53" s="936">
        <v>0</v>
      </c>
      <c r="I53" s="12" t="s">
        <v>0</v>
      </c>
      <c r="J53" s="12" t="s">
        <v>1</v>
      </c>
      <c r="K53" s="52">
        <v>0</v>
      </c>
      <c r="L53" s="12" t="s">
        <v>2</v>
      </c>
      <c r="M53" s="12" t="s">
        <v>1</v>
      </c>
      <c r="N53" s="443">
        <v>0</v>
      </c>
      <c r="O53" s="12" t="s">
        <v>273</v>
      </c>
      <c r="P53" s="12" t="s">
        <v>3</v>
      </c>
      <c r="Q53" s="510">
        <f>(H53*K53)*N53</f>
        <v>0</v>
      </c>
      <c r="R53" s="405"/>
      <c r="S53" s="285"/>
      <c r="T53" s="285"/>
    </row>
    <row r="54" spans="1:20" ht="24" customHeight="1">
      <c r="A54" s="346"/>
      <c r="B54" s="6"/>
      <c r="C54" s="1091" t="s">
        <v>48</v>
      </c>
      <c r="D54" s="1063">
        <v>0</v>
      </c>
      <c r="E54" s="1079">
        <f>Q54</f>
        <v>0</v>
      </c>
      <c r="F54" s="1063">
        <f>E54-D54</f>
        <v>0</v>
      </c>
      <c r="G54" s="1151" t="s">
        <v>52</v>
      </c>
      <c r="H54" s="1152"/>
      <c r="I54" s="16"/>
      <c r="J54" s="16"/>
      <c r="K54" s="35"/>
      <c r="L54" s="17"/>
      <c r="M54" s="17"/>
      <c r="N54" s="439"/>
      <c r="O54" s="16"/>
      <c r="P54" s="16"/>
      <c r="Q54" s="618">
        <f>SUM(Q55:Q58)</f>
        <v>0</v>
      </c>
      <c r="R54" s="408">
        <f>Q54</f>
        <v>0</v>
      </c>
      <c r="S54" s="285"/>
      <c r="T54" s="285"/>
    </row>
    <row r="55" spans="1:20" ht="24" customHeight="1">
      <c r="A55" s="338"/>
      <c r="B55" s="8"/>
      <c r="C55" s="1092"/>
      <c r="D55" s="1077"/>
      <c r="E55" s="1079"/>
      <c r="F55" s="1077"/>
      <c r="G55" s="112" t="s">
        <v>126</v>
      </c>
      <c r="H55" s="937">
        <v>0</v>
      </c>
      <c r="I55" s="20" t="s">
        <v>0</v>
      </c>
      <c r="J55" s="20" t="s">
        <v>1</v>
      </c>
      <c r="K55" s="939">
        <v>0</v>
      </c>
      <c r="L55" s="20" t="s">
        <v>2</v>
      </c>
      <c r="M55" s="20" t="s">
        <v>1</v>
      </c>
      <c r="N55" s="942">
        <v>0</v>
      </c>
      <c r="O55" s="16" t="s">
        <v>251</v>
      </c>
      <c r="P55" s="20" t="s">
        <v>3</v>
      </c>
      <c r="Q55" s="509">
        <f>(H55*K55)*N55</f>
        <v>0</v>
      </c>
      <c r="R55" s="405"/>
      <c r="S55" s="285"/>
      <c r="T55" s="285"/>
    </row>
    <row r="56" spans="1:20" ht="24" customHeight="1">
      <c r="A56" s="338"/>
      <c r="B56" s="8"/>
      <c r="C56" s="1092"/>
      <c r="D56" s="1077"/>
      <c r="E56" s="1079"/>
      <c r="F56" s="1077"/>
      <c r="G56" s="113" t="s">
        <v>127</v>
      </c>
      <c r="H56" s="938">
        <v>0</v>
      </c>
      <c r="I56" s="22" t="s">
        <v>0</v>
      </c>
      <c r="J56" s="22" t="s">
        <v>1</v>
      </c>
      <c r="K56" s="940">
        <v>0</v>
      </c>
      <c r="L56" s="22" t="s">
        <v>2</v>
      </c>
      <c r="M56" s="22" t="s">
        <v>1</v>
      </c>
      <c r="N56" s="943">
        <v>0</v>
      </c>
      <c r="O56" s="22" t="s">
        <v>251</v>
      </c>
      <c r="P56" s="22" t="s">
        <v>3</v>
      </c>
      <c r="Q56" s="526">
        <f>(H56*K56)*N56</f>
        <v>0</v>
      </c>
      <c r="R56" s="405"/>
      <c r="S56" s="285"/>
      <c r="T56" s="285"/>
    </row>
    <row r="57" spans="1:20" ht="24" customHeight="1">
      <c r="A57" s="338"/>
      <c r="B57" s="8"/>
      <c r="C57" s="1092"/>
      <c r="D57" s="1077"/>
      <c r="E57" s="1079"/>
      <c r="F57" s="1077"/>
      <c r="G57" s="107" t="s">
        <v>58</v>
      </c>
      <c r="H57" s="938">
        <v>0</v>
      </c>
      <c r="I57" s="22" t="s">
        <v>0</v>
      </c>
      <c r="J57" s="22" t="s">
        <v>1</v>
      </c>
      <c r="K57" s="940">
        <v>0</v>
      </c>
      <c r="L57" s="22" t="s">
        <v>2</v>
      </c>
      <c r="M57" s="22" t="s">
        <v>1</v>
      </c>
      <c r="N57" s="943">
        <v>0</v>
      </c>
      <c r="O57" s="22" t="s">
        <v>20</v>
      </c>
      <c r="P57" s="22" t="s">
        <v>3</v>
      </c>
      <c r="Q57" s="526">
        <f>(H57*K57)*N57</f>
        <v>0</v>
      </c>
      <c r="R57" s="405"/>
      <c r="S57" s="285"/>
      <c r="T57" s="285"/>
    </row>
    <row r="58" spans="1:20" ht="24" customHeight="1">
      <c r="A58" s="338"/>
      <c r="B58" s="8"/>
      <c r="C58" s="1093"/>
      <c r="D58" s="1078"/>
      <c r="E58" s="1079"/>
      <c r="F58" s="1078"/>
      <c r="G58" s="105" t="s">
        <v>128</v>
      </c>
      <c r="H58" s="938">
        <v>0</v>
      </c>
      <c r="I58" s="54" t="s">
        <v>0</v>
      </c>
      <c r="J58" s="54" t="s">
        <v>1</v>
      </c>
      <c r="K58" s="941">
        <v>0</v>
      </c>
      <c r="L58" s="54" t="s">
        <v>2</v>
      </c>
      <c r="M58" s="54" t="s">
        <v>1</v>
      </c>
      <c r="N58" s="944">
        <v>0</v>
      </c>
      <c r="O58" s="54" t="s">
        <v>20</v>
      </c>
      <c r="P58" s="54" t="s">
        <v>3</v>
      </c>
      <c r="Q58" s="511">
        <f>(H58*K58)*N58</f>
        <v>0</v>
      </c>
      <c r="R58" s="405"/>
      <c r="S58" s="285"/>
      <c r="T58" s="285"/>
    </row>
    <row r="59" spans="1:20" ht="24" customHeight="1">
      <c r="A59" s="338"/>
      <c r="B59" s="8"/>
      <c r="C59" s="1091" t="s">
        <v>53</v>
      </c>
      <c r="D59" s="1063">
        <v>0</v>
      </c>
      <c r="E59" s="1079">
        <f>Q59</f>
        <v>0</v>
      </c>
      <c r="F59" s="1063">
        <f>E59-D59</f>
        <v>0</v>
      </c>
      <c r="G59" s="115" t="s">
        <v>55</v>
      </c>
      <c r="H59" s="68"/>
      <c r="I59" s="93"/>
      <c r="J59" s="93"/>
      <c r="K59" s="93"/>
      <c r="L59" s="93"/>
      <c r="M59" s="93"/>
      <c r="N59" s="451"/>
      <c r="O59" s="93"/>
      <c r="P59" s="93"/>
      <c r="Q59" s="619">
        <f>Q60</f>
        <v>0</v>
      </c>
      <c r="R59" s="408">
        <f>Q59</f>
        <v>0</v>
      </c>
      <c r="S59" s="285"/>
      <c r="T59" s="285"/>
    </row>
    <row r="60" spans="1:20" ht="24" customHeight="1">
      <c r="A60" s="338"/>
      <c r="B60" s="8"/>
      <c r="C60" s="1093"/>
      <c r="D60" s="1078"/>
      <c r="E60" s="1079"/>
      <c r="F60" s="1078"/>
      <c r="G60" s="461" t="s">
        <v>284</v>
      </c>
      <c r="H60" s="945">
        <v>0</v>
      </c>
      <c r="I60" s="23" t="s">
        <v>0</v>
      </c>
      <c r="J60" s="149"/>
      <c r="K60" s="149"/>
      <c r="L60" s="149"/>
      <c r="M60" s="149"/>
      <c r="N60" s="452"/>
      <c r="O60" s="149"/>
      <c r="P60" s="149" t="s">
        <v>51</v>
      </c>
      <c r="Q60" s="532">
        <f>H60</f>
        <v>0</v>
      </c>
      <c r="R60" s="405"/>
      <c r="S60" s="285"/>
      <c r="T60" s="285"/>
    </row>
    <row r="61" spans="1:20" ht="24" customHeight="1">
      <c r="A61" s="350"/>
      <c r="B61" s="7"/>
      <c r="C61" s="1091" t="s">
        <v>54</v>
      </c>
      <c r="D61" s="1063">
        <v>0</v>
      </c>
      <c r="E61" s="1079">
        <f>Q61</f>
        <v>0</v>
      </c>
      <c r="F61" s="1063">
        <f>E61-D61</f>
        <v>0</v>
      </c>
      <c r="G61" s="146" t="s">
        <v>56</v>
      </c>
      <c r="H61" s="150"/>
      <c r="I61" s="147"/>
      <c r="J61" s="147"/>
      <c r="K61" s="147"/>
      <c r="L61" s="147"/>
      <c r="M61" s="147"/>
      <c r="N61" s="450"/>
      <c r="O61" s="147"/>
      <c r="P61" s="147"/>
      <c r="Q61" s="535">
        <f>Q63+Q62</f>
        <v>0</v>
      </c>
      <c r="R61" s="405"/>
      <c r="S61" s="285"/>
      <c r="T61" s="285"/>
    </row>
    <row r="62" spans="1:20" ht="24" customHeight="1">
      <c r="A62" s="350"/>
      <c r="B62" s="7"/>
      <c r="C62" s="1092"/>
      <c r="D62" s="1077"/>
      <c r="E62" s="1079"/>
      <c r="F62" s="1077"/>
      <c r="G62" s="111" t="s">
        <v>261</v>
      </c>
      <c r="H62" s="946">
        <v>0</v>
      </c>
      <c r="I62" s="54" t="s">
        <v>0</v>
      </c>
      <c r="J62" s="54" t="s">
        <v>1</v>
      </c>
      <c r="K62" s="941">
        <v>0</v>
      </c>
      <c r="L62" s="54" t="s">
        <v>2</v>
      </c>
      <c r="M62" s="54" t="s">
        <v>1</v>
      </c>
      <c r="N62" s="944">
        <v>0</v>
      </c>
      <c r="O62" s="54" t="s">
        <v>20</v>
      </c>
      <c r="P62" s="54" t="s">
        <v>3</v>
      </c>
      <c r="Q62" s="511">
        <f>(H62*K62)*N62</f>
        <v>0</v>
      </c>
      <c r="R62" s="405"/>
      <c r="S62" s="285"/>
      <c r="T62" s="285"/>
    </row>
    <row r="63" spans="1:20" ht="24" customHeight="1" thickBot="1">
      <c r="A63" s="350"/>
      <c r="B63" s="7"/>
      <c r="C63" s="1092"/>
      <c r="D63" s="1077"/>
      <c r="E63" s="1063"/>
      <c r="F63" s="1077"/>
      <c r="G63" s="558" t="s">
        <v>260</v>
      </c>
      <c r="H63" s="932">
        <v>0</v>
      </c>
      <c r="I63" s="54" t="s">
        <v>0</v>
      </c>
      <c r="J63" s="54" t="s">
        <v>1</v>
      </c>
      <c r="K63" s="941">
        <v>0</v>
      </c>
      <c r="L63" s="54" t="s">
        <v>2</v>
      </c>
      <c r="M63" s="54" t="s">
        <v>1</v>
      </c>
      <c r="N63" s="944">
        <v>0</v>
      </c>
      <c r="O63" s="54" t="s">
        <v>20</v>
      </c>
      <c r="P63" s="54" t="s">
        <v>3</v>
      </c>
      <c r="Q63" s="511">
        <f>(H63*K63)*N63</f>
        <v>0</v>
      </c>
      <c r="R63" s="405"/>
      <c r="S63" s="285"/>
      <c r="T63" s="285"/>
    </row>
    <row r="64" spans="1:20" ht="24" customHeight="1">
      <c r="A64" s="1127" t="s">
        <v>307</v>
      </c>
      <c r="B64" s="1128"/>
      <c r="C64" s="1128"/>
      <c r="D64" s="949">
        <v>0</v>
      </c>
      <c r="E64" s="780">
        <f>E65</f>
        <v>0</v>
      </c>
      <c r="F64" s="815">
        <f>E64-D64</f>
        <v>0</v>
      </c>
      <c r="G64" s="502"/>
      <c r="H64" s="503"/>
      <c r="I64" s="503"/>
      <c r="J64" s="503"/>
      <c r="K64" s="503"/>
      <c r="L64" s="503"/>
      <c r="M64" s="503"/>
      <c r="N64" s="504"/>
      <c r="O64" s="503"/>
      <c r="P64" s="503"/>
      <c r="Q64" s="838">
        <f>Q65</f>
        <v>0</v>
      </c>
      <c r="R64" s="405"/>
      <c r="S64" s="285"/>
      <c r="T64" s="287"/>
    </row>
    <row r="65" spans="1:21" ht="24" customHeight="1">
      <c r="A65" s="337"/>
      <c r="B65" s="1071" t="s">
        <v>308</v>
      </c>
      <c r="C65" s="1072"/>
      <c r="D65" s="820">
        <v>0</v>
      </c>
      <c r="E65" s="782">
        <f>E66</f>
        <v>0</v>
      </c>
      <c r="F65" s="816">
        <f>E65-D65</f>
        <v>0</v>
      </c>
      <c r="G65" s="130"/>
      <c r="H65" s="131"/>
      <c r="I65" s="131"/>
      <c r="J65" s="131"/>
      <c r="K65" s="131"/>
      <c r="L65" s="131"/>
      <c r="M65" s="131"/>
      <c r="N65" s="453"/>
      <c r="O65" s="131"/>
      <c r="P65" s="131"/>
      <c r="Q65" s="507">
        <f>Q66</f>
        <v>0</v>
      </c>
      <c r="R65" s="405"/>
      <c r="S65" s="285"/>
      <c r="T65" s="285"/>
    </row>
    <row r="66" spans="1:21" ht="24" customHeight="1">
      <c r="A66" s="338"/>
      <c r="B66" s="10"/>
      <c r="C66" s="1106" t="s">
        <v>309</v>
      </c>
      <c r="D66" s="1067">
        <v>0</v>
      </c>
      <c r="E66" s="1079">
        <f>Q66</f>
        <v>0</v>
      </c>
      <c r="F66" s="1063">
        <f>E66-D66</f>
        <v>0</v>
      </c>
      <c r="G66" s="106" t="s">
        <v>63</v>
      </c>
      <c r="H66" s="70"/>
      <c r="I66" s="71"/>
      <c r="J66" s="20"/>
      <c r="K66" s="32"/>
      <c r="L66" s="21"/>
      <c r="M66" s="21"/>
      <c r="N66" s="454"/>
      <c r="O66" s="20"/>
      <c r="P66" s="20" t="s">
        <v>25</v>
      </c>
      <c r="Q66" s="735">
        <f>Q67</f>
        <v>0</v>
      </c>
      <c r="R66" s="405"/>
      <c r="S66" s="285"/>
      <c r="T66" s="287">
        <f>Q589</f>
        <v>0</v>
      </c>
    </row>
    <row r="67" spans="1:21" ht="24" customHeight="1" thickBot="1">
      <c r="A67" s="561"/>
      <c r="B67" s="204"/>
      <c r="C67" s="1107"/>
      <c r="D67" s="1163"/>
      <c r="E67" s="1096"/>
      <c r="F67" s="1064"/>
      <c r="G67" s="562" t="s">
        <v>64</v>
      </c>
      <c r="H67" s="947">
        <v>0</v>
      </c>
      <c r="I67" s="372" t="s">
        <v>21</v>
      </c>
      <c r="J67" s="372"/>
      <c r="K67" s="516"/>
      <c r="L67" s="517"/>
      <c r="M67" s="517"/>
      <c r="N67" s="518"/>
      <c r="O67" s="372"/>
      <c r="P67" s="372" t="s">
        <v>3</v>
      </c>
      <c r="Q67" s="519">
        <f>H67</f>
        <v>0</v>
      </c>
      <c r="R67" s="405"/>
      <c r="S67" s="285"/>
      <c r="T67" s="285"/>
    </row>
    <row r="68" spans="1:21" ht="24" customHeight="1">
      <c r="A68" s="1145" t="s">
        <v>310</v>
      </c>
      <c r="B68" s="1154"/>
      <c r="C68" s="1155"/>
      <c r="D68" s="951">
        <v>0</v>
      </c>
      <c r="E68" s="812">
        <f>E69</f>
        <v>64752798</v>
      </c>
      <c r="F68" s="822">
        <f>E68-D68</f>
        <v>64752798</v>
      </c>
      <c r="G68" s="558"/>
      <c r="H68" s="65"/>
      <c r="I68" s="12"/>
      <c r="J68" s="12"/>
      <c r="K68" s="64"/>
      <c r="L68" s="65"/>
      <c r="M68" s="65"/>
      <c r="N68" s="1082">
        <f>N69</f>
        <v>64752798</v>
      </c>
      <c r="O68" s="1082"/>
      <c r="P68" s="1082"/>
      <c r="Q68" s="1083"/>
      <c r="R68" s="408"/>
      <c r="S68" s="285"/>
      <c r="T68" s="285"/>
    </row>
    <row r="69" spans="1:21" ht="24" customHeight="1">
      <c r="A69" s="1069"/>
      <c r="B69" s="1071" t="s">
        <v>311</v>
      </c>
      <c r="C69" s="1072"/>
      <c r="D69" s="820">
        <v>0</v>
      </c>
      <c r="E69" s="782">
        <f>E70+E95</f>
        <v>64752798</v>
      </c>
      <c r="F69" s="823">
        <f>E69-D69</f>
        <v>64752798</v>
      </c>
      <c r="G69" s="114"/>
      <c r="H69" s="18"/>
      <c r="I69" s="19"/>
      <c r="J69" s="19"/>
      <c r="K69" s="33"/>
      <c r="L69" s="18"/>
      <c r="M69" s="18"/>
      <c r="N69" s="1084">
        <f>N70+N95</f>
        <v>64752798</v>
      </c>
      <c r="O69" s="1084"/>
      <c r="P69" s="1084"/>
      <c r="Q69" s="1085"/>
      <c r="R69" s="405"/>
      <c r="S69" s="285"/>
      <c r="T69" s="285"/>
    </row>
    <row r="70" spans="1:21" ht="24" customHeight="1">
      <c r="A70" s="1070"/>
      <c r="B70" s="1156"/>
      <c r="C70" s="611" t="s">
        <v>440</v>
      </c>
      <c r="D70" s="952">
        <v>0</v>
      </c>
      <c r="E70" s="1063">
        <f>N70</f>
        <v>58752798</v>
      </c>
      <c r="F70" s="785">
        <f>E70-D70</f>
        <v>58752798</v>
      </c>
      <c r="G70" s="104" t="s">
        <v>62</v>
      </c>
      <c r="H70" s="18"/>
      <c r="I70" s="19"/>
      <c r="J70" s="19"/>
      <c r="K70" s="33">
        <v>8</v>
      </c>
      <c r="L70" s="18"/>
      <c r="M70" s="18"/>
      <c r="N70" s="1086">
        <f>SUM(Q71:Q94)</f>
        <v>58752798</v>
      </c>
      <c r="O70" s="1086"/>
      <c r="P70" s="1086"/>
      <c r="Q70" s="1087"/>
      <c r="R70" s="408"/>
      <c r="S70" s="287">
        <f>N70</f>
        <v>58752798</v>
      </c>
      <c r="T70" s="285"/>
      <c r="U70" s="284">
        <f>S70/12</f>
        <v>4896066.5</v>
      </c>
    </row>
    <row r="71" spans="1:21" ht="24" customHeight="1">
      <c r="A71" s="1070"/>
      <c r="B71" s="1157"/>
      <c r="C71" s="273"/>
      <c r="D71" s="953"/>
      <c r="E71" s="1077"/>
      <c r="F71" s="786"/>
      <c r="G71" s="763" t="s">
        <v>129</v>
      </c>
      <c r="H71" s="907">
        <f>64350*0.85</f>
        <v>54697.5</v>
      </c>
      <c r="I71" s="20" t="s">
        <v>0</v>
      </c>
      <c r="J71" s="20" t="s">
        <v>1</v>
      </c>
      <c r="K71" s="917">
        <v>0</v>
      </c>
      <c r="L71" s="20" t="s">
        <v>2</v>
      </c>
      <c r="M71" s="20" t="s">
        <v>1</v>
      </c>
      <c r="N71" s="924">
        <v>156</v>
      </c>
      <c r="O71" s="20" t="s">
        <v>179</v>
      </c>
      <c r="P71" s="20" t="s">
        <v>3</v>
      </c>
      <c r="Q71" s="509">
        <f t="shared" ref="Q71:Q93" si="2">(H71*K71)*N71</f>
        <v>0</v>
      </c>
      <c r="R71" s="405"/>
      <c r="S71" s="285"/>
      <c r="T71" s="285"/>
    </row>
    <row r="72" spans="1:21" ht="24" customHeight="1">
      <c r="A72" s="1070"/>
      <c r="B72" s="1157"/>
      <c r="C72" s="273"/>
      <c r="D72" s="953"/>
      <c r="E72" s="1077"/>
      <c r="F72" s="786"/>
      <c r="G72" s="760" t="s">
        <v>774</v>
      </c>
      <c r="H72" s="908">
        <f>64350*0.91</f>
        <v>58558.5</v>
      </c>
      <c r="I72" s="22" t="s">
        <v>0</v>
      </c>
      <c r="J72" s="22" t="s">
        <v>1</v>
      </c>
      <c r="K72" s="906">
        <v>0</v>
      </c>
      <c r="L72" s="22" t="s">
        <v>2</v>
      </c>
      <c r="M72" s="22" t="s">
        <v>1</v>
      </c>
      <c r="N72" s="924">
        <v>156</v>
      </c>
      <c r="O72" s="22" t="s">
        <v>179</v>
      </c>
      <c r="P72" s="22" t="s">
        <v>3</v>
      </c>
      <c r="Q72" s="526">
        <f t="shared" si="2"/>
        <v>0</v>
      </c>
      <c r="R72" s="405"/>
      <c r="S72" s="285"/>
      <c r="T72" s="285"/>
    </row>
    <row r="73" spans="1:21" ht="24" customHeight="1">
      <c r="A73" s="1070"/>
      <c r="B73" s="1157"/>
      <c r="C73" s="273"/>
      <c r="D73" s="953"/>
      <c r="E73" s="1077"/>
      <c r="F73" s="786"/>
      <c r="G73" s="760" t="s">
        <v>775</v>
      </c>
      <c r="H73" s="909">
        <f>64350*0.94</f>
        <v>60489</v>
      </c>
      <c r="I73" s="22" t="s">
        <v>0</v>
      </c>
      <c r="J73" s="22" t="s">
        <v>1</v>
      </c>
      <c r="K73" s="906">
        <v>0</v>
      </c>
      <c r="L73" s="22" t="s">
        <v>2</v>
      </c>
      <c r="M73" s="22" t="s">
        <v>1</v>
      </c>
      <c r="N73" s="924">
        <v>156</v>
      </c>
      <c r="O73" s="22" t="s">
        <v>179</v>
      </c>
      <c r="P73" s="22" t="s">
        <v>3</v>
      </c>
      <c r="Q73" s="526">
        <f t="shared" si="2"/>
        <v>0</v>
      </c>
      <c r="R73" s="405"/>
      <c r="S73" s="285"/>
      <c r="T73" s="285"/>
    </row>
    <row r="74" spans="1:21" ht="24" customHeight="1">
      <c r="A74" s="1070"/>
      <c r="B74" s="1157"/>
      <c r="C74" s="273"/>
      <c r="D74" s="953"/>
      <c r="E74" s="1077"/>
      <c r="F74" s="786"/>
      <c r="G74" s="761" t="s">
        <v>132</v>
      </c>
      <c r="H74" s="908">
        <v>64350</v>
      </c>
      <c r="I74" s="22" t="s">
        <v>0</v>
      </c>
      <c r="J74" s="22" t="s">
        <v>1</v>
      </c>
      <c r="K74" s="918">
        <v>0</v>
      </c>
      <c r="L74" s="22" t="s">
        <v>2</v>
      </c>
      <c r="M74" s="22" t="s">
        <v>1</v>
      </c>
      <c r="N74" s="924">
        <v>156</v>
      </c>
      <c r="O74" s="22" t="s">
        <v>178</v>
      </c>
      <c r="P74" s="22" t="s">
        <v>3</v>
      </c>
      <c r="Q74" s="526">
        <f t="shared" si="2"/>
        <v>0</v>
      </c>
      <c r="R74" s="405"/>
      <c r="S74" s="285"/>
      <c r="T74" s="285"/>
    </row>
    <row r="75" spans="1:21" ht="24" customHeight="1">
      <c r="A75" s="1070"/>
      <c r="B75" s="1157"/>
      <c r="C75" s="273"/>
      <c r="D75" s="953"/>
      <c r="E75" s="1077"/>
      <c r="F75" s="786"/>
      <c r="G75" s="760" t="s">
        <v>119</v>
      </c>
      <c r="H75" s="908">
        <f>59610*0.85</f>
        <v>50668.5</v>
      </c>
      <c r="I75" s="22" t="s">
        <v>0</v>
      </c>
      <c r="J75" s="22" t="s">
        <v>1</v>
      </c>
      <c r="K75" s="966">
        <v>0</v>
      </c>
      <c r="L75" s="22" t="s">
        <v>2</v>
      </c>
      <c r="M75" s="22" t="s">
        <v>1</v>
      </c>
      <c r="N75" s="924">
        <v>156</v>
      </c>
      <c r="O75" s="22" t="s">
        <v>178</v>
      </c>
      <c r="P75" s="22" t="s">
        <v>3</v>
      </c>
      <c r="Q75" s="526">
        <f t="shared" si="2"/>
        <v>0</v>
      </c>
      <c r="R75" s="405"/>
      <c r="S75" s="285"/>
      <c r="T75" s="285"/>
    </row>
    <row r="76" spans="1:21" ht="24" customHeight="1">
      <c r="A76" s="1070"/>
      <c r="B76" s="1157"/>
      <c r="C76" s="273"/>
      <c r="D76" s="953"/>
      <c r="E76" s="1077"/>
      <c r="F76" s="786"/>
      <c r="G76" s="760" t="s">
        <v>780</v>
      </c>
      <c r="H76" s="908">
        <f>59610*0.91</f>
        <v>54245.1</v>
      </c>
      <c r="I76" s="22" t="s">
        <v>0</v>
      </c>
      <c r="J76" s="22" t="s">
        <v>1</v>
      </c>
      <c r="K76" s="906">
        <v>0</v>
      </c>
      <c r="L76" s="22" t="s">
        <v>2</v>
      </c>
      <c r="M76" s="22" t="s">
        <v>1</v>
      </c>
      <c r="N76" s="924">
        <v>156</v>
      </c>
      <c r="O76" s="22" t="s">
        <v>178</v>
      </c>
      <c r="P76" s="22" t="s">
        <v>3</v>
      </c>
      <c r="Q76" s="526">
        <f t="shared" si="2"/>
        <v>0</v>
      </c>
      <c r="R76" s="405"/>
      <c r="S76" s="285"/>
      <c r="T76" s="285"/>
    </row>
    <row r="77" spans="1:21" ht="24" customHeight="1">
      <c r="A77" s="1070"/>
      <c r="B77" s="1157"/>
      <c r="C77" s="273"/>
      <c r="D77" s="953"/>
      <c r="E77" s="1077"/>
      <c r="F77" s="786"/>
      <c r="G77" s="760" t="s">
        <v>776</v>
      </c>
      <c r="H77" s="908">
        <f>59610*0.94</f>
        <v>56033.399999999994</v>
      </c>
      <c r="I77" s="22" t="s">
        <v>0</v>
      </c>
      <c r="J77" s="22" t="s">
        <v>1</v>
      </c>
      <c r="K77" s="906">
        <v>0</v>
      </c>
      <c r="L77" s="22" t="s">
        <v>2</v>
      </c>
      <c r="M77" s="22" t="s">
        <v>1</v>
      </c>
      <c r="N77" s="924">
        <v>156</v>
      </c>
      <c r="O77" s="22" t="s">
        <v>178</v>
      </c>
      <c r="P77" s="22" t="s">
        <v>3</v>
      </c>
      <c r="Q77" s="526">
        <f t="shared" si="2"/>
        <v>0</v>
      </c>
      <c r="R77" s="405"/>
      <c r="S77" s="285"/>
      <c r="T77" s="285"/>
    </row>
    <row r="78" spans="1:21" ht="24" customHeight="1">
      <c r="A78" s="1070"/>
      <c r="B78" s="1157"/>
      <c r="C78" s="273"/>
      <c r="D78" s="953"/>
      <c r="E78" s="1077"/>
      <c r="F78" s="786"/>
      <c r="G78" s="761" t="s">
        <v>133</v>
      </c>
      <c r="H78" s="908">
        <v>59610</v>
      </c>
      <c r="I78" s="22" t="s">
        <v>0</v>
      </c>
      <c r="J78" s="22" t="s">
        <v>1</v>
      </c>
      <c r="K78" s="918">
        <v>0</v>
      </c>
      <c r="L78" s="22" t="s">
        <v>2</v>
      </c>
      <c r="M78" s="22" t="s">
        <v>1</v>
      </c>
      <c r="N78" s="924">
        <v>156</v>
      </c>
      <c r="O78" s="22" t="s">
        <v>178</v>
      </c>
      <c r="P78" s="22" t="s">
        <v>3</v>
      </c>
      <c r="Q78" s="526">
        <f t="shared" si="2"/>
        <v>0</v>
      </c>
      <c r="R78" s="405"/>
      <c r="S78" s="285"/>
      <c r="T78" s="285"/>
    </row>
    <row r="79" spans="1:21" ht="24" customHeight="1">
      <c r="A79" s="1070"/>
      <c r="B79" s="1157"/>
      <c r="C79" s="273"/>
      <c r="D79" s="953"/>
      <c r="E79" s="1077"/>
      <c r="F79" s="786"/>
      <c r="G79" s="760" t="s">
        <v>122</v>
      </c>
      <c r="H79" s="908">
        <f>55070*0.85</f>
        <v>46809.5</v>
      </c>
      <c r="I79" s="22" t="s">
        <v>0</v>
      </c>
      <c r="J79" s="22" t="s">
        <v>1</v>
      </c>
      <c r="K79" s="965">
        <v>3</v>
      </c>
      <c r="L79" s="22" t="s">
        <v>2</v>
      </c>
      <c r="M79" s="22" t="s">
        <v>1</v>
      </c>
      <c r="N79" s="924">
        <v>156</v>
      </c>
      <c r="O79" s="22" t="s">
        <v>178</v>
      </c>
      <c r="P79" s="22" t="s">
        <v>3</v>
      </c>
      <c r="Q79" s="526">
        <f t="shared" si="2"/>
        <v>21906846</v>
      </c>
      <c r="R79" s="405"/>
      <c r="S79" s="285"/>
      <c r="T79" s="285"/>
    </row>
    <row r="80" spans="1:21" ht="24" customHeight="1">
      <c r="A80" s="1070"/>
      <c r="B80" s="1157"/>
      <c r="C80" s="273"/>
      <c r="D80" s="953"/>
      <c r="E80" s="1077"/>
      <c r="F80" s="786"/>
      <c r="G80" s="760" t="s">
        <v>781</v>
      </c>
      <c r="H80" s="908">
        <f>55070*0.91</f>
        <v>50113.700000000004</v>
      </c>
      <c r="I80" s="22" t="s">
        <v>0</v>
      </c>
      <c r="J80" s="22" t="s">
        <v>1</v>
      </c>
      <c r="K80" s="906">
        <v>0</v>
      </c>
      <c r="L80" s="22" t="s">
        <v>2</v>
      </c>
      <c r="M80" s="22" t="s">
        <v>1</v>
      </c>
      <c r="N80" s="924">
        <v>156</v>
      </c>
      <c r="O80" s="22" t="s">
        <v>178</v>
      </c>
      <c r="P80" s="22" t="s">
        <v>3</v>
      </c>
      <c r="Q80" s="526">
        <f t="shared" si="2"/>
        <v>0</v>
      </c>
      <c r="R80" s="405"/>
      <c r="S80" s="285"/>
      <c r="T80" s="285"/>
    </row>
    <row r="81" spans="1:20" ht="24" customHeight="1">
      <c r="A81" s="1070"/>
      <c r="B81" s="1157"/>
      <c r="C81" s="273"/>
      <c r="D81" s="953"/>
      <c r="E81" s="1077"/>
      <c r="F81" s="786"/>
      <c r="G81" s="760" t="s">
        <v>777</v>
      </c>
      <c r="H81" s="908">
        <f>55070*0.94</f>
        <v>51765.799999999996</v>
      </c>
      <c r="I81" s="22" t="s">
        <v>0</v>
      </c>
      <c r="J81" s="22" t="s">
        <v>1</v>
      </c>
      <c r="K81" s="906">
        <v>0</v>
      </c>
      <c r="L81" s="22" t="s">
        <v>2</v>
      </c>
      <c r="M81" s="22" t="s">
        <v>1</v>
      </c>
      <c r="N81" s="924">
        <v>156</v>
      </c>
      <c r="O81" s="22" t="s">
        <v>178</v>
      </c>
      <c r="P81" s="22" t="s">
        <v>3</v>
      </c>
      <c r="Q81" s="526">
        <f t="shared" si="2"/>
        <v>0</v>
      </c>
      <c r="R81" s="405"/>
      <c r="S81" s="285"/>
      <c r="T81" s="285"/>
    </row>
    <row r="82" spans="1:20" ht="24" customHeight="1">
      <c r="A82" s="1070"/>
      <c r="B82" s="1157"/>
      <c r="C82" s="273"/>
      <c r="D82" s="953"/>
      <c r="E82" s="1077"/>
      <c r="F82" s="786"/>
      <c r="G82" s="761" t="s">
        <v>134</v>
      </c>
      <c r="H82" s="908">
        <v>55070</v>
      </c>
      <c r="I82" s="22" t="s">
        <v>0</v>
      </c>
      <c r="J82" s="22" t="s">
        <v>1</v>
      </c>
      <c r="K82" s="918">
        <v>0</v>
      </c>
      <c r="L82" s="22" t="s">
        <v>2</v>
      </c>
      <c r="M82" s="22" t="s">
        <v>1</v>
      </c>
      <c r="N82" s="924">
        <v>156</v>
      </c>
      <c r="O82" s="22" t="s">
        <v>178</v>
      </c>
      <c r="P82" s="22" t="s">
        <v>3</v>
      </c>
      <c r="Q82" s="526">
        <f t="shared" si="2"/>
        <v>0</v>
      </c>
      <c r="R82" s="405"/>
      <c r="S82" s="285"/>
      <c r="T82" s="285"/>
    </row>
    <row r="83" spans="1:20" ht="24" customHeight="1">
      <c r="A83" s="1070"/>
      <c r="B83" s="1157"/>
      <c r="C83" s="273"/>
      <c r="D83" s="953"/>
      <c r="E83" s="1077"/>
      <c r="F83" s="786"/>
      <c r="G83" s="760" t="s">
        <v>490</v>
      </c>
      <c r="H83" s="908">
        <f>53680*0.85</f>
        <v>45628</v>
      </c>
      <c r="I83" s="22" t="s">
        <v>0</v>
      </c>
      <c r="J83" s="22" t="s">
        <v>1</v>
      </c>
      <c r="K83" s="965">
        <v>3</v>
      </c>
      <c r="L83" s="22" t="s">
        <v>2</v>
      </c>
      <c r="M83" s="22" t="s">
        <v>1</v>
      </c>
      <c r="N83" s="924">
        <v>156</v>
      </c>
      <c r="O83" s="22" t="s">
        <v>178</v>
      </c>
      <c r="P83" s="22" t="s">
        <v>3</v>
      </c>
      <c r="Q83" s="526">
        <f t="shared" si="2"/>
        <v>21353904</v>
      </c>
      <c r="R83" s="405"/>
      <c r="S83" s="285"/>
      <c r="T83" s="285"/>
    </row>
    <row r="84" spans="1:20" ht="24" customHeight="1">
      <c r="A84" s="1070"/>
      <c r="B84" s="1157"/>
      <c r="C84" s="273"/>
      <c r="D84" s="953"/>
      <c r="E84" s="1077"/>
      <c r="F84" s="786"/>
      <c r="G84" s="760" t="s">
        <v>782</v>
      </c>
      <c r="H84" s="908">
        <f>53680*0.91</f>
        <v>48848.800000000003</v>
      </c>
      <c r="I84" s="22" t="s">
        <v>0</v>
      </c>
      <c r="J84" s="22" t="s">
        <v>1</v>
      </c>
      <c r="K84" s="965">
        <v>1</v>
      </c>
      <c r="L84" s="22" t="s">
        <v>2</v>
      </c>
      <c r="M84" s="22" t="s">
        <v>1</v>
      </c>
      <c r="N84" s="924">
        <v>156</v>
      </c>
      <c r="O84" s="22" t="s">
        <v>178</v>
      </c>
      <c r="P84" s="22" t="s">
        <v>3</v>
      </c>
      <c r="Q84" s="526">
        <f t="shared" si="2"/>
        <v>7620412.8000000007</v>
      </c>
      <c r="R84" s="405"/>
      <c r="S84" s="285"/>
      <c r="T84" s="285"/>
    </row>
    <row r="85" spans="1:20" ht="24" customHeight="1">
      <c r="A85" s="1070"/>
      <c r="B85" s="1157"/>
      <c r="C85" s="273"/>
      <c r="D85" s="953"/>
      <c r="E85" s="1077"/>
      <c r="F85" s="786"/>
      <c r="G85" s="760" t="s">
        <v>778</v>
      </c>
      <c r="H85" s="908">
        <f>53680*0.94</f>
        <v>50459.199999999997</v>
      </c>
      <c r="I85" s="22" t="s">
        <v>0</v>
      </c>
      <c r="J85" s="22" t="s">
        <v>1</v>
      </c>
      <c r="K85" s="965">
        <v>1</v>
      </c>
      <c r="L85" s="22" t="s">
        <v>2</v>
      </c>
      <c r="M85" s="22" t="s">
        <v>1</v>
      </c>
      <c r="N85" s="924">
        <v>156</v>
      </c>
      <c r="O85" s="22" t="s">
        <v>178</v>
      </c>
      <c r="P85" s="22" t="s">
        <v>3</v>
      </c>
      <c r="Q85" s="526">
        <f t="shared" si="2"/>
        <v>7871635.1999999993</v>
      </c>
      <c r="R85" s="405"/>
      <c r="S85" s="285"/>
      <c r="T85" s="285"/>
    </row>
    <row r="86" spans="1:20" ht="24" customHeight="1">
      <c r="A86" s="1070"/>
      <c r="B86" s="1157"/>
      <c r="C86" s="273"/>
      <c r="D86" s="953"/>
      <c r="E86" s="1077"/>
      <c r="F86" s="786"/>
      <c r="G86" s="761" t="s">
        <v>250</v>
      </c>
      <c r="H86" s="908">
        <v>53680</v>
      </c>
      <c r="I86" s="22" t="s">
        <v>0</v>
      </c>
      <c r="J86" s="22" t="s">
        <v>1</v>
      </c>
      <c r="K86" s="918">
        <v>0</v>
      </c>
      <c r="L86" s="22" t="s">
        <v>2</v>
      </c>
      <c r="M86" s="22" t="s">
        <v>1</v>
      </c>
      <c r="N86" s="924">
        <v>156</v>
      </c>
      <c r="O86" s="22" t="s">
        <v>178</v>
      </c>
      <c r="P86" s="22" t="s">
        <v>3</v>
      </c>
      <c r="Q86" s="526">
        <f t="shared" si="2"/>
        <v>0</v>
      </c>
      <c r="R86" s="405"/>
      <c r="S86" s="285"/>
      <c r="T86" s="285"/>
    </row>
    <row r="87" spans="1:20" ht="24" customHeight="1">
      <c r="A87" s="1070"/>
      <c r="B87" s="1157"/>
      <c r="C87" s="273"/>
      <c r="D87" s="953"/>
      <c r="E87" s="1077"/>
      <c r="F87" s="786"/>
      <c r="G87" s="760" t="s">
        <v>269</v>
      </c>
      <c r="H87" s="908">
        <f>52320*0.85</f>
        <v>44472</v>
      </c>
      <c r="I87" s="22" t="s">
        <v>0</v>
      </c>
      <c r="J87" s="22" t="s">
        <v>1</v>
      </c>
      <c r="K87" s="966">
        <v>0</v>
      </c>
      <c r="L87" s="22" t="s">
        <v>2</v>
      </c>
      <c r="M87" s="22" t="s">
        <v>1</v>
      </c>
      <c r="N87" s="924">
        <v>156</v>
      </c>
      <c r="O87" s="22" t="s">
        <v>178</v>
      </c>
      <c r="P87" s="22" t="s">
        <v>3</v>
      </c>
      <c r="Q87" s="526">
        <f t="shared" si="2"/>
        <v>0</v>
      </c>
      <c r="R87" s="405"/>
      <c r="S87" s="285"/>
      <c r="T87" s="285"/>
    </row>
    <row r="88" spans="1:20" ht="24" customHeight="1">
      <c r="A88" s="1070"/>
      <c r="B88" s="1157"/>
      <c r="C88" s="273"/>
      <c r="D88" s="953"/>
      <c r="E88" s="1077"/>
      <c r="F88" s="786"/>
      <c r="G88" s="760" t="s">
        <v>783</v>
      </c>
      <c r="H88" s="908">
        <f>52320*0.91</f>
        <v>47611.200000000004</v>
      </c>
      <c r="I88" s="22" t="s">
        <v>0</v>
      </c>
      <c r="J88" s="22" t="s">
        <v>1</v>
      </c>
      <c r="K88" s="906">
        <v>0</v>
      </c>
      <c r="L88" s="22" t="s">
        <v>2</v>
      </c>
      <c r="M88" s="22" t="s">
        <v>1</v>
      </c>
      <c r="N88" s="924">
        <v>156</v>
      </c>
      <c r="O88" s="22" t="s">
        <v>178</v>
      </c>
      <c r="P88" s="22" t="s">
        <v>3</v>
      </c>
      <c r="Q88" s="526">
        <f t="shared" si="2"/>
        <v>0</v>
      </c>
      <c r="R88" s="405"/>
      <c r="S88" s="285"/>
      <c r="T88" s="285"/>
    </row>
    <row r="89" spans="1:20" ht="24" customHeight="1">
      <c r="A89" s="1070"/>
      <c r="B89" s="1157"/>
      <c r="C89" s="273"/>
      <c r="D89" s="953"/>
      <c r="E89" s="1078"/>
      <c r="F89" s="786"/>
      <c r="G89" s="760" t="s">
        <v>779</v>
      </c>
      <c r="H89" s="908">
        <f>52320*0.94</f>
        <v>49180.799999999996</v>
      </c>
      <c r="I89" s="22" t="s">
        <v>0</v>
      </c>
      <c r="J89" s="22" t="s">
        <v>1</v>
      </c>
      <c r="K89" s="906">
        <v>0</v>
      </c>
      <c r="L89" s="22" t="s">
        <v>2</v>
      </c>
      <c r="M89" s="22" t="s">
        <v>1</v>
      </c>
      <c r="N89" s="924">
        <v>156</v>
      </c>
      <c r="O89" s="22" t="s">
        <v>178</v>
      </c>
      <c r="P89" s="22" t="s">
        <v>3</v>
      </c>
      <c r="Q89" s="526">
        <f t="shared" si="2"/>
        <v>0</v>
      </c>
      <c r="R89" s="405"/>
      <c r="S89" s="285"/>
      <c r="T89" s="285"/>
    </row>
    <row r="90" spans="1:20" ht="24" customHeight="1">
      <c r="A90" s="1070"/>
      <c r="B90" s="1157"/>
      <c r="C90" s="273"/>
      <c r="D90" s="953"/>
      <c r="E90" s="824"/>
      <c r="F90" s="786"/>
      <c r="G90" s="761" t="s">
        <v>271</v>
      </c>
      <c r="H90" s="908">
        <v>52320</v>
      </c>
      <c r="I90" s="22" t="s">
        <v>0</v>
      </c>
      <c r="J90" s="22" t="s">
        <v>1</v>
      </c>
      <c r="K90" s="918">
        <v>0</v>
      </c>
      <c r="L90" s="22" t="s">
        <v>2</v>
      </c>
      <c r="M90" s="22" t="s">
        <v>1</v>
      </c>
      <c r="N90" s="924">
        <v>156</v>
      </c>
      <c r="O90" s="22" t="s">
        <v>178</v>
      </c>
      <c r="P90" s="22" t="s">
        <v>3</v>
      </c>
      <c r="Q90" s="526">
        <f t="shared" si="2"/>
        <v>0</v>
      </c>
      <c r="R90" s="405"/>
      <c r="S90" s="285"/>
      <c r="T90" s="285"/>
    </row>
    <row r="91" spans="1:20" ht="24" customHeight="1">
      <c r="A91" s="1070"/>
      <c r="B91" s="1157"/>
      <c r="C91" s="273"/>
      <c r="D91" s="953"/>
      <c r="E91" s="824"/>
      <c r="F91" s="786"/>
      <c r="G91" s="761" t="s">
        <v>494</v>
      </c>
      <c r="H91" s="908">
        <f>47210*85%</f>
        <v>40128.5</v>
      </c>
      <c r="I91" s="22" t="s">
        <v>0</v>
      </c>
      <c r="J91" s="22" t="s">
        <v>1</v>
      </c>
      <c r="K91" s="906">
        <v>0</v>
      </c>
      <c r="L91" s="22" t="s">
        <v>2</v>
      </c>
      <c r="M91" s="22" t="s">
        <v>1</v>
      </c>
      <c r="N91" s="925">
        <v>72</v>
      </c>
      <c r="O91" s="22" t="s">
        <v>808</v>
      </c>
      <c r="P91" s="22" t="s">
        <v>3</v>
      </c>
      <c r="Q91" s="526">
        <f t="shared" si="2"/>
        <v>0</v>
      </c>
      <c r="R91" s="405"/>
      <c r="S91" s="285"/>
      <c r="T91" s="285"/>
    </row>
    <row r="92" spans="1:20" ht="24" customHeight="1">
      <c r="A92" s="1070"/>
      <c r="B92" s="1157"/>
      <c r="C92" s="273"/>
      <c r="D92" s="953"/>
      <c r="E92" s="824"/>
      <c r="F92" s="786"/>
      <c r="G92" s="761" t="s">
        <v>784</v>
      </c>
      <c r="H92" s="908">
        <f>47210*0.91</f>
        <v>42961.1</v>
      </c>
      <c r="I92" s="22" t="s">
        <v>0</v>
      </c>
      <c r="J92" s="22" t="s">
        <v>1</v>
      </c>
      <c r="K92" s="906">
        <v>0</v>
      </c>
      <c r="L92" s="22" t="s">
        <v>2</v>
      </c>
      <c r="M92" s="22" t="s">
        <v>1</v>
      </c>
      <c r="N92" s="925">
        <v>72</v>
      </c>
      <c r="O92" s="22" t="s">
        <v>808</v>
      </c>
      <c r="P92" s="22" t="s">
        <v>3</v>
      </c>
      <c r="Q92" s="526">
        <f>(H92*K92)*N92</f>
        <v>0</v>
      </c>
      <c r="R92" s="405"/>
      <c r="S92" s="285"/>
      <c r="T92" s="285"/>
    </row>
    <row r="93" spans="1:20" ht="24" customHeight="1">
      <c r="A93" s="1070"/>
      <c r="B93" s="1157"/>
      <c r="C93" s="273"/>
      <c r="D93" s="953"/>
      <c r="E93" s="824"/>
      <c r="F93" s="786"/>
      <c r="G93" s="761" t="s">
        <v>785</v>
      </c>
      <c r="H93" s="908">
        <f>47210*0.94</f>
        <v>44377.399999999994</v>
      </c>
      <c r="I93" s="22" t="s">
        <v>0</v>
      </c>
      <c r="J93" s="22" t="s">
        <v>1</v>
      </c>
      <c r="K93" s="906">
        <v>0</v>
      </c>
      <c r="L93" s="22" t="s">
        <v>2</v>
      </c>
      <c r="M93" s="22" t="s">
        <v>1</v>
      </c>
      <c r="N93" s="925">
        <v>72</v>
      </c>
      <c r="O93" s="22" t="s">
        <v>808</v>
      </c>
      <c r="P93" s="22" t="s">
        <v>3</v>
      </c>
      <c r="Q93" s="526">
        <f t="shared" si="2"/>
        <v>0</v>
      </c>
      <c r="R93" s="405"/>
      <c r="S93" s="285"/>
      <c r="T93" s="285"/>
    </row>
    <row r="94" spans="1:20" ht="24" customHeight="1">
      <c r="A94" s="1070"/>
      <c r="B94" s="1157"/>
      <c r="C94" s="273"/>
      <c r="D94" s="953"/>
      <c r="E94" s="824"/>
      <c r="F94" s="786"/>
      <c r="G94" s="762" t="s">
        <v>495</v>
      </c>
      <c r="H94" s="908">
        <f>47210</f>
        <v>47210</v>
      </c>
      <c r="I94" s="22" t="s">
        <v>0</v>
      </c>
      <c r="J94" s="22" t="s">
        <v>1</v>
      </c>
      <c r="K94" s="918">
        <v>0</v>
      </c>
      <c r="L94" s="22" t="s">
        <v>2</v>
      </c>
      <c r="M94" s="22" t="s">
        <v>1</v>
      </c>
      <c r="N94" s="925">
        <v>72</v>
      </c>
      <c r="O94" s="22" t="s">
        <v>808</v>
      </c>
      <c r="P94" s="22" t="s">
        <v>3</v>
      </c>
      <c r="Q94" s="526">
        <f>(H94*K94)*N94</f>
        <v>0</v>
      </c>
      <c r="R94" s="405"/>
      <c r="S94" s="285"/>
      <c r="T94" s="285"/>
    </row>
    <row r="95" spans="1:20" ht="24" customHeight="1">
      <c r="A95" s="1070"/>
      <c r="B95" s="1157"/>
      <c r="C95" s="612" t="s">
        <v>312</v>
      </c>
      <c r="D95" s="1094">
        <v>0</v>
      </c>
      <c r="E95" s="1075">
        <f>N95</f>
        <v>6000000</v>
      </c>
      <c r="F95" s="1075">
        <f>E95-D95</f>
        <v>6000000</v>
      </c>
      <c r="G95" s="104" t="s">
        <v>438</v>
      </c>
      <c r="H95" s="18"/>
      <c r="I95" s="19"/>
      <c r="J95" s="19"/>
      <c r="K95" s="33"/>
      <c r="L95" s="18"/>
      <c r="M95" s="18"/>
      <c r="N95" s="1086">
        <f>Q96</f>
        <v>6000000</v>
      </c>
      <c r="O95" s="1086"/>
      <c r="P95" s="1086"/>
      <c r="Q95" s="1087"/>
      <c r="R95" s="408"/>
      <c r="S95" s="287">
        <f>N95</f>
        <v>6000000</v>
      </c>
      <c r="T95" s="285"/>
    </row>
    <row r="96" spans="1:20" ht="24" customHeight="1" thickBot="1">
      <c r="A96" s="1070"/>
      <c r="B96" s="1157"/>
      <c r="C96" s="482"/>
      <c r="D96" s="1095"/>
      <c r="E96" s="1076"/>
      <c r="F96" s="1076"/>
      <c r="G96" s="548" t="s">
        <v>313</v>
      </c>
      <c r="H96" s="463">
        <v>1500000</v>
      </c>
      <c r="I96" s="16" t="s">
        <v>0</v>
      </c>
      <c r="J96" s="16" t="s">
        <v>1</v>
      </c>
      <c r="K96" s="549">
        <v>1</v>
      </c>
      <c r="L96" s="16" t="s">
        <v>2</v>
      </c>
      <c r="M96" s="16" t="s">
        <v>1</v>
      </c>
      <c r="N96" s="445">
        <v>4</v>
      </c>
      <c r="O96" s="16" t="s">
        <v>93</v>
      </c>
      <c r="P96" s="16" t="s">
        <v>3</v>
      </c>
      <c r="Q96" s="550">
        <f>(H96*K96)*N96</f>
        <v>6000000</v>
      </c>
      <c r="R96" s="408"/>
      <c r="S96" s="285"/>
      <c r="T96" s="285"/>
    </row>
    <row r="97" spans="1:20" s="11" customFormat="1" ht="24" customHeight="1">
      <c r="A97" s="1144" t="s">
        <v>71</v>
      </c>
      <c r="B97" s="1135"/>
      <c r="C97" s="1135"/>
      <c r="D97" s="869">
        <v>0</v>
      </c>
      <c r="E97" s="814">
        <f>E98</f>
        <v>0</v>
      </c>
      <c r="F97" s="815">
        <f>E97-D97</f>
        <v>0</v>
      </c>
      <c r="G97" s="502"/>
      <c r="H97" s="503"/>
      <c r="I97" s="503"/>
      <c r="J97" s="503"/>
      <c r="K97" s="503"/>
      <c r="L97" s="503"/>
      <c r="M97" s="503"/>
      <c r="N97" s="504"/>
      <c r="O97" s="503"/>
      <c r="P97" s="503"/>
      <c r="Q97" s="839">
        <f>Q98</f>
        <v>0</v>
      </c>
      <c r="R97" s="416"/>
      <c r="S97" s="289">
        <f>Q97</f>
        <v>0</v>
      </c>
      <c r="T97" s="288"/>
    </row>
    <row r="98" spans="1:20" s="11" customFormat="1" ht="24" customHeight="1">
      <c r="A98" s="506"/>
      <c r="B98" s="1138" t="s">
        <v>65</v>
      </c>
      <c r="C98" s="1137"/>
      <c r="D98" s="870">
        <v>0</v>
      </c>
      <c r="E98" s="802">
        <f>E99+E101</f>
        <v>0</v>
      </c>
      <c r="F98" s="816">
        <f>E98-D98</f>
        <v>0</v>
      </c>
      <c r="G98" s="130"/>
      <c r="H98" s="131"/>
      <c r="I98" s="131"/>
      <c r="J98" s="131"/>
      <c r="K98" s="131"/>
      <c r="L98" s="131"/>
      <c r="M98" s="131"/>
      <c r="N98" s="453"/>
      <c r="O98" s="131"/>
      <c r="P98" s="131"/>
      <c r="Q98" s="507">
        <f>Q99+Q101</f>
        <v>0</v>
      </c>
      <c r="R98" s="416"/>
      <c r="S98" s="288"/>
      <c r="T98" s="288"/>
    </row>
    <row r="99" spans="1:20" s="11" customFormat="1" ht="24" customHeight="1">
      <c r="A99" s="536"/>
      <c r="B99" s="58"/>
      <c r="C99" s="1056" t="s">
        <v>125</v>
      </c>
      <c r="D99" s="1130">
        <v>0</v>
      </c>
      <c r="E99" s="1061">
        <f>Q99</f>
        <v>0</v>
      </c>
      <c r="F99" s="1063">
        <f>E99-D99</f>
        <v>0</v>
      </c>
      <c r="G99" s="110" t="s">
        <v>66</v>
      </c>
      <c r="H99" s="87"/>
      <c r="I99" s="88"/>
      <c r="J99" s="16"/>
      <c r="K99" s="35"/>
      <c r="L99" s="17"/>
      <c r="M99" s="17"/>
      <c r="N99" s="439"/>
      <c r="O99" s="16"/>
      <c r="P99" s="16" t="s">
        <v>3</v>
      </c>
      <c r="Q99" s="525">
        <f>Q100</f>
        <v>0</v>
      </c>
      <c r="R99" s="416"/>
      <c r="S99" s="288"/>
      <c r="T99" s="288"/>
    </row>
    <row r="100" spans="1:20" s="11" customFormat="1" ht="24" customHeight="1">
      <c r="A100" s="536"/>
      <c r="B100" s="73"/>
      <c r="C100" s="1057"/>
      <c r="D100" s="1141"/>
      <c r="E100" s="1061"/>
      <c r="F100" s="1078"/>
      <c r="G100" s="108" t="s">
        <v>67</v>
      </c>
      <c r="H100" s="30">
        <v>0</v>
      </c>
      <c r="I100" s="23" t="s">
        <v>0</v>
      </c>
      <c r="J100" s="23"/>
      <c r="K100" s="34"/>
      <c r="L100" s="24"/>
      <c r="M100" s="24"/>
      <c r="N100" s="449"/>
      <c r="O100" s="23"/>
      <c r="P100" s="23" t="s">
        <v>3</v>
      </c>
      <c r="Q100" s="532">
        <f>H100</f>
        <v>0</v>
      </c>
      <c r="R100" s="416"/>
      <c r="S100" s="288"/>
      <c r="T100" s="288"/>
    </row>
    <row r="101" spans="1:20" s="11" customFormat="1" ht="24" customHeight="1">
      <c r="A101" s="536"/>
      <c r="B101" s="73"/>
      <c r="C101" s="1118" t="s">
        <v>68</v>
      </c>
      <c r="D101" s="1058">
        <v>0</v>
      </c>
      <c r="E101" s="1061">
        <f>Q101</f>
        <v>0</v>
      </c>
      <c r="F101" s="1063">
        <f>E101-D101</f>
        <v>0</v>
      </c>
      <c r="G101" s="106" t="s">
        <v>69</v>
      </c>
      <c r="H101" s="70"/>
      <c r="I101" s="71"/>
      <c r="J101" s="20"/>
      <c r="K101" s="32"/>
      <c r="L101" s="21"/>
      <c r="M101" s="21"/>
      <c r="N101" s="454"/>
      <c r="O101" s="20"/>
      <c r="P101" s="20" t="s">
        <v>3</v>
      </c>
      <c r="Q101" s="509">
        <f>Q102</f>
        <v>0</v>
      </c>
      <c r="R101" s="416"/>
      <c r="S101" s="288"/>
      <c r="T101" s="288"/>
    </row>
    <row r="102" spans="1:20" s="11" customFormat="1" ht="24" customHeight="1" thickBot="1">
      <c r="A102" s="546"/>
      <c r="B102" s="547"/>
      <c r="C102" s="1060"/>
      <c r="D102" s="1139"/>
      <c r="E102" s="1062"/>
      <c r="F102" s="1064"/>
      <c r="G102" s="551" t="s">
        <v>819</v>
      </c>
      <c r="H102" s="832">
        <v>0</v>
      </c>
      <c r="I102" s="372" t="s">
        <v>0</v>
      </c>
      <c r="J102" s="372" t="s">
        <v>1</v>
      </c>
      <c r="K102" s="516">
        <v>0</v>
      </c>
      <c r="L102" s="517"/>
      <c r="M102" s="372" t="s">
        <v>1</v>
      </c>
      <c r="N102" s="556">
        <v>0</v>
      </c>
      <c r="O102" s="553" t="s">
        <v>791</v>
      </c>
      <c r="P102" s="553" t="s">
        <v>3</v>
      </c>
      <c r="Q102" s="557">
        <f>H102*K102*N102</f>
        <v>0</v>
      </c>
      <c r="R102" s="416"/>
      <c r="S102" s="288"/>
      <c r="T102" s="288"/>
    </row>
    <row r="103" spans="1:20" ht="24" customHeight="1">
      <c r="A103" s="1149" t="s">
        <v>72</v>
      </c>
      <c r="B103" s="1153"/>
      <c r="C103" s="1153"/>
      <c r="D103" s="951">
        <v>0</v>
      </c>
      <c r="E103" s="812">
        <f>E104</f>
        <v>25200000</v>
      </c>
      <c r="F103" s="821">
        <f>E103-D103</f>
        <v>25200000</v>
      </c>
      <c r="G103" s="542"/>
      <c r="H103" s="543"/>
      <c r="I103" s="543"/>
      <c r="J103" s="543"/>
      <c r="K103" s="543"/>
      <c r="L103" s="543"/>
      <c r="M103" s="543"/>
      <c r="N103" s="544"/>
      <c r="O103" s="543"/>
      <c r="P103" s="543"/>
      <c r="Q103" s="840">
        <f>Q104</f>
        <v>25200000</v>
      </c>
      <c r="R103" s="405"/>
      <c r="S103" s="287">
        <f>Q103</f>
        <v>25200000</v>
      </c>
      <c r="T103" s="285"/>
    </row>
    <row r="104" spans="1:20" ht="24" customHeight="1">
      <c r="A104" s="1069"/>
      <c r="B104" s="1071" t="s">
        <v>73</v>
      </c>
      <c r="C104" s="1072"/>
      <c r="D104" s="820">
        <v>0</v>
      </c>
      <c r="E104" s="782">
        <f>E105+E107+E109+E111</f>
        <v>25200000</v>
      </c>
      <c r="F104" s="816">
        <f>E104-D104</f>
        <v>25200000</v>
      </c>
      <c r="G104" s="130"/>
      <c r="H104" s="131"/>
      <c r="I104" s="131"/>
      <c r="J104" s="131"/>
      <c r="K104" s="131"/>
      <c r="L104" s="131"/>
      <c r="M104" s="131"/>
      <c r="N104" s="453"/>
      <c r="O104" s="131"/>
      <c r="P104" s="131"/>
      <c r="Q104" s="507">
        <f>Q105+Q107+Q109+Q111</f>
        <v>25200000</v>
      </c>
      <c r="R104" s="405"/>
      <c r="S104" s="285"/>
      <c r="T104" s="285"/>
    </row>
    <row r="105" spans="1:20" ht="24" customHeight="1">
      <c r="A105" s="1070"/>
      <c r="B105" s="10"/>
      <c r="C105" s="1106" t="s">
        <v>74</v>
      </c>
      <c r="D105" s="1067">
        <v>0</v>
      </c>
      <c r="E105" s="1079">
        <f>Q105</f>
        <v>0</v>
      </c>
      <c r="F105" s="1063">
        <f>E105-D105</f>
        <v>0</v>
      </c>
      <c r="G105" s="110" t="s">
        <v>75</v>
      </c>
      <c r="H105" s="87"/>
      <c r="I105" s="88"/>
      <c r="J105" s="16"/>
      <c r="K105" s="35"/>
      <c r="L105" s="17"/>
      <c r="M105" s="17"/>
      <c r="N105" s="439"/>
      <c r="O105" s="16"/>
      <c r="P105" s="16" t="s">
        <v>3</v>
      </c>
      <c r="Q105" s="525">
        <f>Q106</f>
        <v>0</v>
      </c>
      <c r="R105" s="405"/>
      <c r="S105" s="285"/>
      <c r="T105" s="285"/>
    </row>
    <row r="106" spans="1:20" ht="24" customHeight="1">
      <c r="A106" s="1070"/>
      <c r="B106" s="9"/>
      <c r="C106" s="1066"/>
      <c r="D106" s="1068"/>
      <c r="E106" s="1079"/>
      <c r="F106" s="1078"/>
      <c r="G106" s="108" t="s">
        <v>76</v>
      </c>
      <c r="H106" s="30">
        <v>0</v>
      </c>
      <c r="I106" s="23" t="s">
        <v>0</v>
      </c>
      <c r="J106" s="23"/>
      <c r="K106" s="34"/>
      <c r="L106" s="24"/>
      <c r="M106" s="24"/>
      <c r="N106" s="449"/>
      <c r="O106" s="23"/>
      <c r="P106" s="23" t="s">
        <v>3</v>
      </c>
      <c r="Q106" s="532">
        <f>H106</f>
        <v>0</v>
      </c>
      <c r="R106" s="405"/>
      <c r="S106" s="285"/>
      <c r="T106" s="285"/>
    </row>
    <row r="107" spans="1:20" ht="24" customHeight="1">
      <c r="A107" s="1070"/>
      <c r="B107" s="10"/>
      <c r="C107" s="1065" t="s">
        <v>314</v>
      </c>
      <c r="D107" s="1067">
        <v>0</v>
      </c>
      <c r="E107" s="1079">
        <f>Q107</f>
        <v>0</v>
      </c>
      <c r="F107" s="1063">
        <f>E107-D107</f>
        <v>0</v>
      </c>
      <c r="G107" s="487" t="s">
        <v>317</v>
      </c>
      <c r="H107" s="87"/>
      <c r="I107" s="88"/>
      <c r="J107" s="16"/>
      <c r="K107" s="35"/>
      <c r="L107" s="17"/>
      <c r="M107" s="17"/>
      <c r="N107" s="439"/>
      <c r="O107" s="16"/>
      <c r="P107" s="16" t="s">
        <v>3</v>
      </c>
      <c r="Q107" s="525">
        <f>Q108</f>
        <v>0</v>
      </c>
      <c r="R107" s="405"/>
      <c r="S107" s="285"/>
      <c r="T107" s="285"/>
    </row>
    <row r="108" spans="1:20" ht="24" customHeight="1" thickBot="1">
      <c r="A108" s="1070"/>
      <c r="B108" s="9"/>
      <c r="C108" s="1066"/>
      <c r="D108" s="1068"/>
      <c r="E108" s="1079"/>
      <c r="F108" s="1078"/>
      <c r="G108" s="486" t="s">
        <v>318</v>
      </c>
      <c r="H108" s="30">
        <v>0</v>
      </c>
      <c r="I108" s="23" t="s">
        <v>0</v>
      </c>
      <c r="J108" s="372" t="s">
        <v>1</v>
      </c>
      <c r="K108" s="34"/>
      <c r="L108" s="24"/>
      <c r="M108" s="24"/>
      <c r="N108" s="449"/>
      <c r="O108" s="23"/>
      <c r="P108" s="23" t="s">
        <v>3</v>
      </c>
      <c r="Q108" s="532">
        <f>H108</f>
        <v>0</v>
      </c>
      <c r="R108" s="405"/>
      <c r="S108" s="285"/>
      <c r="T108" s="285"/>
    </row>
    <row r="109" spans="1:20" ht="24" customHeight="1">
      <c r="A109" s="1070"/>
      <c r="B109" s="10"/>
      <c r="C109" s="1106" t="s">
        <v>315</v>
      </c>
      <c r="D109" s="1067">
        <v>0</v>
      </c>
      <c r="E109" s="1079">
        <f>Q109</f>
        <v>25200000</v>
      </c>
      <c r="F109" s="1063">
        <f>E109-D109</f>
        <v>25200000</v>
      </c>
      <c r="G109" s="110" t="s">
        <v>319</v>
      </c>
      <c r="H109" s="87"/>
      <c r="I109" s="88"/>
      <c r="J109" s="16"/>
      <c r="K109" s="35"/>
      <c r="L109" s="17"/>
      <c r="M109" s="17"/>
      <c r="N109" s="439"/>
      <c r="O109" s="16"/>
      <c r="P109" s="16" t="s">
        <v>3</v>
      </c>
      <c r="Q109" s="525">
        <f>Q110</f>
        <v>25200000</v>
      </c>
      <c r="R109" s="405"/>
      <c r="S109" s="285"/>
      <c r="T109" s="285"/>
    </row>
    <row r="110" spans="1:20" ht="24" customHeight="1" thickBot="1">
      <c r="A110" s="1070"/>
      <c r="B110" s="9"/>
      <c r="C110" s="1066"/>
      <c r="D110" s="1068"/>
      <c r="E110" s="1079"/>
      <c r="F110" s="1078"/>
      <c r="G110" s="486" t="s">
        <v>817</v>
      </c>
      <c r="H110" s="30">
        <v>3600000</v>
      </c>
      <c r="I110" s="23" t="s">
        <v>0</v>
      </c>
      <c r="J110" s="372" t="s">
        <v>1</v>
      </c>
      <c r="K110" s="34">
        <v>1</v>
      </c>
      <c r="L110" s="24"/>
      <c r="M110" s="372" t="s">
        <v>1</v>
      </c>
      <c r="N110" s="449">
        <v>7</v>
      </c>
      <c r="O110" s="23" t="s">
        <v>823</v>
      </c>
      <c r="P110" s="23" t="s">
        <v>3</v>
      </c>
      <c r="Q110" s="532">
        <f>SUM(H110*K110)*N110</f>
        <v>25200000</v>
      </c>
      <c r="R110" s="405"/>
      <c r="S110" s="285"/>
      <c r="T110" s="285"/>
    </row>
    <row r="111" spans="1:20" ht="24" customHeight="1">
      <c r="A111" s="1070"/>
      <c r="B111" s="10"/>
      <c r="C111" s="1065" t="s">
        <v>316</v>
      </c>
      <c r="D111" s="1067">
        <v>0</v>
      </c>
      <c r="E111" s="1079">
        <f>Q111</f>
        <v>0</v>
      </c>
      <c r="F111" s="1063">
        <f>E111-D111</f>
        <v>0</v>
      </c>
      <c r="G111" s="487" t="s">
        <v>321</v>
      </c>
      <c r="H111" s="87"/>
      <c r="I111" s="88"/>
      <c r="J111" s="16"/>
      <c r="K111" s="35"/>
      <c r="L111" s="17"/>
      <c r="M111" s="17"/>
      <c r="N111" s="439"/>
      <c r="O111" s="16"/>
      <c r="P111" s="16" t="s">
        <v>3</v>
      </c>
      <c r="Q111" s="525">
        <f>Q112</f>
        <v>0</v>
      </c>
      <c r="R111" s="405"/>
      <c r="S111" s="285"/>
      <c r="T111" s="285"/>
    </row>
    <row r="112" spans="1:20" ht="24" customHeight="1" thickBot="1">
      <c r="A112" s="1070"/>
      <c r="B112" s="7"/>
      <c r="C112" s="1073"/>
      <c r="D112" s="1074"/>
      <c r="E112" s="1063"/>
      <c r="F112" s="1077"/>
      <c r="G112" s="105" t="s">
        <v>322</v>
      </c>
      <c r="H112" s="540">
        <v>0</v>
      </c>
      <c r="I112" s="54" t="s">
        <v>0</v>
      </c>
      <c r="J112" s="54"/>
      <c r="K112" s="154"/>
      <c r="L112" s="155"/>
      <c r="M112" s="155"/>
      <c r="N112" s="457"/>
      <c r="O112" s="54"/>
      <c r="P112" s="54" t="s">
        <v>3</v>
      </c>
      <c r="Q112" s="511">
        <f>H112</f>
        <v>0</v>
      </c>
      <c r="R112" s="405"/>
      <c r="S112" s="285"/>
      <c r="T112" s="285"/>
    </row>
    <row r="113" spans="1:21" ht="24" customHeight="1">
      <c r="A113" s="1144" t="s">
        <v>77</v>
      </c>
      <c r="B113" s="1135"/>
      <c r="C113" s="1135"/>
      <c r="D113" s="869">
        <v>0</v>
      </c>
      <c r="E113" s="841">
        <f>E114</f>
        <v>0</v>
      </c>
      <c r="F113" s="842">
        <f>E113-D113</f>
        <v>0</v>
      </c>
      <c r="G113" s="502"/>
      <c r="H113" s="503"/>
      <c r="I113" s="503"/>
      <c r="J113" s="503"/>
      <c r="K113" s="503"/>
      <c r="L113" s="503"/>
      <c r="M113" s="503"/>
      <c r="N113" s="504"/>
      <c r="O113" s="503"/>
      <c r="P113" s="503"/>
      <c r="Q113" s="839">
        <f>Q114</f>
        <v>0</v>
      </c>
      <c r="R113" s="405"/>
      <c r="S113" s="287">
        <f>Q113</f>
        <v>0</v>
      </c>
      <c r="T113" s="285"/>
    </row>
    <row r="114" spans="1:21" ht="24" customHeight="1">
      <c r="A114" s="506"/>
      <c r="B114" s="1138" t="s">
        <v>80</v>
      </c>
      <c r="C114" s="1137"/>
      <c r="D114" s="870">
        <v>0</v>
      </c>
      <c r="E114" s="843">
        <f>E115+E117+E119</f>
        <v>0</v>
      </c>
      <c r="F114" s="844">
        <f>E114-D114</f>
        <v>0</v>
      </c>
      <c r="G114" s="130"/>
      <c r="H114" s="131"/>
      <c r="I114" s="131"/>
      <c r="J114" s="131"/>
      <c r="K114" s="131"/>
      <c r="L114" s="131"/>
      <c r="M114" s="131"/>
      <c r="N114" s="453"/>
      <c r="O114" s="131"/>
      <c r="P114" s="131"/>
      <c r="Q114" s="507">
        <f>Q115+Q117+Q119</f>
        <v>0</v>
      </c>
      <c r="R114" s="405"/>
      <c r="S114" s="285"/>
      <c r="T114" s="285"/>
    </row>
    <row r="115" spans="1:21" ht="24" customHeight="1">
      <c r="A115" s="536"/>
      <c r="B115" s="58"/>
      <c r="C115" s="1118" t="s">
        <v>81</v>
      </c>
      <c r="D115" s="1058">
        <v>0</v>
      </c>
      <c r="E115" s="1061">
        <f>Q116</f>
        <v>0</v>
      </c>
      <c r="F115" s="1063">
        <f>E115-D115</f>
        <v>0</v>
      </c>
      <c r="G115" s="106" t="s">
        <v>78</v>
      </c>
      <c r="H115" s="70"/>
      <c r="I115" s="71"/>
      <c r="J115" s="20"/>
      <c r="K115" s="32"/>
      <c r="L115" s="21"/>
      <c r="M115" s="21"/>
      <c r="N115" s="454"/>
      <c r="O115" s="20"/>
      <c r="P115" s="20" t="s">
        <v>3</v>
      </c>
      <c r="Q115" s="509">
        <f>Q116</f>
        <v>0</v>
      </c>
      <c r="R115" s="405"/>
      <c r="S115" s="285"/>
      <c r="T115" s="285"/>
    </row>
    <row r="116" spans="1:21" ht="24" customHeight="1">
      <c r="A116" s="536"/>
      <c r="B116" s="73"/>
      <c r="C116" s="1057"/>
      <c r="D116" s="1059"/>
      <c r="E116" s="1061"/>
      <c r="F116" s="1078"/>
      <c r="G116" s="116" t="s">
        <v>79</v>
      </c>
      <c r="H116" s="89">
        <v>0</v>
      </c>
      <c r="I116" s="84" t="s">
        <v>0</v>
      </c>
      <c r="J116" s="84"/>
      <c r="K116" s="90"/>
      <c r="L116" s="91"/>
      <c r="M116" s="91"/>
      <c r="N116" s="455"/>
      <c r="O116" s="84"/>
      <c r="P116" s="84" t="s">
        <v>3</v>
      </c>
      <c r="Q116" s="538">
        <f>H116</f>
        <v>0</v>
      </c>
      <c r="R116" s="405"/>
      <c r="S116" s="285"/>
      <c r="T116" s="285"/>
    </row>
    <row r="117" spans="1:21" ht="22.5">
      <c r="A117" s="536"/>
      <c r="B117" s="73"/>
      <c r="C117" s="1056" t="s">
        <v>323</v>
      </c>
      <c r="D117" s="1058">
        <v>0</v>
      </c>
      <c r="E117" s="1061">
        <f>Q117</f>
        <v>0</v>
      </c>
      <c r="F117" s="1063">
        <f>E117-D117</f>
        <v>0</v>
      </c>
      <c r="G117" s="487" t="s">
        <v>326</v>
      </c>
      <c r="H117" s="87"/>
      <c r="I117" s="88"/>
      <c r="J117" s="16"/>
      <c r="K117" s="35"/>
      <c r="L117" s="17"/>
      <c r="M117" s="17"/>
      <c r="N117" s="439"/>
      <c r="O117" s="16"/>
      <c r="P117" s="16" t="s">
        <v>3</v>
      </c>
      <c r="Q117" s="525">
        <f>Q118</f>
        <v>0</v>
      </c>
      <c r="R117" s="405"/>
      <c r="S117" s="285"/>
      <c r="T117" s="285"/>
    </row>
    <row r="118" spans="1:21" ht="22.5">
      <c r="A118" s="537"/>
      <c r="B118" s="59"/>
      <c r="C118" s="1057"/>
      <c r="D118" s="1059"/>
      <c r="E118" s="1061"/>
      <c r="F118" s="1078"/>
      <c r="G118" s="486" t="s">
        <v>327</v>
      </c>
      <c r="H118" s="30">
        <v>0</v>
      </c>
      <c r="I118" s="23" t="s">
        <v>0</v>
      </c>
      <c r="J118" s="23"/>
      <c r="K118" s="34"/>
      <c r="L118" s="24"/>
      <c r="M118" s="24"/>
      <c r="N118" s="449"/>
      <c r="O118" s="23"/>
      <c r="P118" s="23" t="s">
        <v>3</v>
      </c>
      <c r="Q118" s="532">
        <f>H118</f>
        <v>0</v>
      </c>
      <c r="R118" s="405"/>
      <c r="S118" s="285"/>
      <c r="T118" s="285"/>
    </row>
    <row r="119" spans="1:21" ht="31.5" customHeight="1">
      <c r="A119" s="536"/>
      <c r="B119" s="73"/>
      <c r="C119" s="1056" t="s">
        <v>324</v>
      </c>
      <c r="D119" s="1058">
        <v>0</v>
      </c>
      <c r="E119" s="1061">
        <f>Q119</f>
        <v>0</v>
      </c>
      <c r="F119" s="1063">
        <f>E119-D119</f>
        <v>0</v>
      </c>
      <c r="G119" s="487" t="s">
        <v>328</v>
      </c>
      <c r="H119" s="87"/>
      <c r="I119" s="88"/>
      <c r="J119" s="16"/>
      <c r="K119" s="35"/>
      <c r="L119" s="17"/>
      <c r="M119" s="17"/>
      <c r="N119" s="439"/>
      <c r="O119" s="16"/>
      <c r="P119" s="16" t="s">
        <v>3</v>
      </c>
      <c r="Q119" s="525">
        <f>Q120</f>
        <v>0</v>
      </c>
      <c r="R119" s="405"/>
      <c r="S119" s="285"/>
      <c r="T119" s="285"/>
    </row>
    <row r="120" spans="1:21" ht="43.5" customHeight="1" thickBot="1">
      <c r="A120" s="546"/>
      <c r="B120" s="547"/>
      <c r="C120" s="1060"/>
      <c r="D120" s="1139"/>
      <c r="E120" s="1062"/>
      <c r="F120" s="1064"/>
      <c r="G120" s="514" t="s">
        <v>329</v>
      </c>
      <c r="H120" s="515">
        <v>0</v>
      </c>
      <c r="I120" s="372" t="s">
        <v>0</v>
      </c>
      <c r="J120" s="372"/>
      <c r="K120" s="516"/>
      <c r="L120" s="517"/>
      <c r="M120" s="517"/>
      <c r="N120" s="518"/>
      <c r="O120" s="372"/>
      <c r="P120" s="372" t="s">
        <v>3</v>
      </c>
      <c r="Q120" s="519">
        <f>H120</f>
        <v>0</v>
      </c>
      <c r="R120" s="405"/>
      <c r="S120" s="285"/>
      <c r="T120" s="285"/>
    </row>
    <row r="121" spans="1:21" ht="24" customHeight="1">
      <c r="A121" s="1142" t="s">
        <v>82</v>
      </c>
      <c r="B121" s="1143"/>
      <c r="C121" s="1143"/>
      <c r="D121" s="954">
        <v>0</v>
      </c>
      <c r="E121" s="801">
        <f>E122</f>
        <v>1945040</v>
      </c>
      <c r="F121" s="821">
        <f>E121-D121</f>
        <v>1945040</v>
      </c>
      <c r="G121" s="542"/>
      <c r="H121" s="543"/>
      <c r="I121" s="543"/>
      <c r="J121" s="543"/>
      <c r="K121" s="543"/>
      <c r="L121" s="543"/>
      <c r="M121" s="543"/>
      <c r="N121" s="544"/>
      <c r="O121" s="543"/>
      <c r="P121" s="543"/>
      <c r="Q121" s="840">
        <f>Q122</f>
        <v>1945040</v>
      </c>
      <c r="R121" s="405"/>
      <c r="S121" s="287">
        <f>Q121</f>
        <v>1945040</v>
      </c>
      <c r="T121" s="285"/>
    </row>
    <row r="122" spans="1:21" ht="24" customHeight="1">
      <c r="A122" s="506"/>
      <c r="B122" s="1138" t="s">
        <v>83</v>
      </c>
      <c r="C122" s="1137"/>
      <c r="D122" s="870">
        <v>0</v>
      </c>
      <c r="E122" s="802">
        <f>SUM(E123:E131)</f>
        <v>1945040</v>
      </c>
      <c r="F122" s="816">
        <f>E122-D122</f>
        <v>1945040</v>
      </c>
      <c r="G122" s="130"/>
      <c r="H122" s="131"/>
      <c r="I122" s="131"/>
      <c r="J122" s="131"/>
      <c r="K122" s="131"/>
      <c r="L122" s="131"/>
      <c r="M122" s="131"/>
      <c r="N122" s="453"/>
      <c r="O122" s="131"/>
      <c r="P122" s="131"/>
      <c r="Q122" s="507">
        <f>Q123+Q125+Q127+Q129</f>
        <v>1945040</v>
      </c>
      <c r="R122" s="405"/>
      <c r="S122" s="285"/>
      <c r="T122" s="285"/>
    </row>
    <row r="123" spans="1:21" ht="24" customHeight="1">
      <c r="A123" s="508"/>
      <c r="B123" s="75"/>
      <c r="C123" s="1056" t="s">
        <v>332</v>
      </c>
      <c r="D123" s="1058">
        <v>0</v>
      </c>
      <c r="E123" s="1061">
        <f>Q123</f>
        <v>0</v>
      </c>
      <c r="F123" s="1063">
        <f>E123-D123</f>
        <v>0</v>
      </c>
      <c r="G123" s="106" t="s">
        <v>84</v>
      </c>
      <c r="H123" s="70"/>
      <c r="I123" s="71"/>
      <c r="J123" s="20"/>
      <c r="K123" s="32"/>
      <c r="L123" s="21"/>
      <c r="M123" s="21"/>
      <c r="N123" s="454"/>
      <c r="O123" s="20"/>
      <c r="P123" s="20" t="s">
        <v>3</v>
      </c>
      <c r="Q123" s="509">
        <f>Q124</f>
        <v>0</v>
      </c>
      <c r="R123" s="405"/>
      <c r="S123" s="285"/>
      <c r="T123" s="285"/>
    </row>
    <row r="124" spans="1:21" ht="24" customHeight="1">
      <c r="A124" s="508"/>
      <c r="B124" s="76"/>
      <c r="C124" s="1057"/>
      <c r="D124" s="1059"/>
      <c r="E124" s="1061"/>
      <c r="F124" s="1078"/>
      <c r="G124" s="109" t="s">
        <v>85</v>
      </c>
      <c r="H124" s="151">
        <v>0</v>
      </c>
      <c r="I124" s="12" t="s">
        <v>0</v>
      </c>
      <c r="J124" s="12"/>
      <c r="K124" s="64"/>
      <c r="L124" s="65"/>
      <c r="M124" s="65"/>
      <c r="N124" s="456"/>
      <c r="O124" s="12"/>
      <c r="P124" s="12" t="s">
        <v>3</v>
      </c>
      <c r="Q124" s="510">
        <f>H124</f>
        <v>0</v>
      </c>
      <c r="R124" s="405"/>
      <c r="S124" s="285"/>
      <c r="T124" s="285"/>
    </row>
    <row r="125" spans="1:21" ht="24" customHeight="1">
      <c r="A125" s="508"/>
      <c r="B125" s="76"/>
      <c r="C125" s="1056" t="s">
        <v>124</v>
      </c>
      <c r="D125" s="1130">
        <v>0</v>
      </c>
      <c r="E125" s="1061">
        <f>Q125</f>
        <v>0</v>
      </c>
      <c r="F125" s="1063">
        <f>E125-D125</f>
        <v>0</v>
      </c>
      <c r="G125" s="140" t="s">
        <v>130</v>
      </c>
      <c r="H125" s="152"/>
      <c r="I125" s="153"/>
      <c r="J125" s="54"/>
      <c r="K125" s="154"/>
      <c r="L125" s="155"/>
      <c r="M125" s="155"/>
      <c r="N125" s="457"/>
      <c r="O125" s="54"/>
      <c r="P125" s="54" t="s">
        <v>3</v>
      </c>
      <c r="Q125" s="511">
        <f>Q126</f>
        <v>0</v>
      </c>
      <c r="R125" s="405"/>
      <c r="S125" s="285"/>
      <c r="T125" s="285"/>
    </row>
    <row r="126" spans="1:21" ht="24" customHeight="1">
      <c r="A126" s="508"/>
      <c r="B126" s="14"/>
      <c r="C126" s="1057"/>
      <c r="D126" s="1141"/>
      <c r="E126" s="1061"/>
      <c r="F126" s="1078"/>
      <c r="G126" s="108" t="s">
        <v>131</v>
      </c>
      <c r="H126" s="30">
        <v>0</v>
      </c>
      <c r="I126" s="23" t="s">
        <v>0</v>
      </c>
      <c r="J126" s="23"/>
      <c r="K126" s="34"/>
      <c r="L126" s="24"/>
      <c r="M126" s="24"/>
      <c r="N126" s="449"/>
      <c r="O126" s="23"/>
      <c r="P126" s="23" t="s">
        <v>3</v>
      </c>
      <c r="Q126" s="532">
        <f>H126</f>
        <v>0</v>
      </c>
      <c r="R126" s="405"/>
      <c r="S126" s="285"/>
      <c r="T126" s="285"/>
    </row>
    <row r="127" spans="1:21" ht="24" customHeight="1">
      <c r="A127" s="508"/>
      <c r="B127" s="76"/>
      <c r="C127" s="1056" t="s">
        <v>325</v>
      </c>
      <c r="D127" s="1130">
        <v>0</v>
      </c>
      <c r="E127" s="1061">
        <f>Q127</f>
        <v>1680000</v>
      </c>
      <c r="F127" s="1063">
        <f>E127-D127</f>
        <v>1680000</v>
      </c>
      <c r="G127" s="105" t="s">
        <v>330</v>
      </c>
      <c r="H127" s="152"/>
      <c r="I127" s="153"/>
      <c r="J127" s="54"/>
      <c r="K127" s="154"/>
      <c r="L127" s="155"/>
      <c r="M127" s="155"/>
      <c r="N127" s="457"/>
      <c r="O127" s="54"/>
      <c r="P127" s="54" t="s">
        <v>3</v>
      </c>
      <c r="Q127" s="527">
        <f>Q128</f>
        <v>1680000</v>
      </c>
      <c r="R127" s="405"/>
      <c r="S127" s="285"/>
      <c r="T127" s="285"/>
    </row>
    <row r="128" spans="1:21" ht="24" customHeight="1">
      <c r="A128" s="508"/>
      <c r="B128" s="14"/>
      <c r="C128" s="1057"/>
      <c r="D128" s="1141"/>
      <c r="E128" s="1061"/>
      <c r="F128" s="1078"/>
      <c r="G128" s="486" t="s">
        <v>331</v>
      </c>
      <c r="H128" s="463">
        <v>60000</v>
      </c>
      <c r="I128" s="16" t="s">
        <v>0</v>
      </c>
      <c r="J128" s="16" t="s">
        <v>1</v>
      </c>
      <c r="K128" s="549">
        <v>4</v>
      </c>
      <c r="L128" s="16" t="s">
        <v>792</v>
      </c>
      <c r="M128" s="16" t="s">
        <v>1</v>
      </c>
      <c r="N128" s="445">
        <v>7</v>
      </c>
      <c r="O128" s="16" t="s">
        <v>93</v>
      </c>
      <c r="P128" s="16" t="s">
        <v>3</v>
      </c>
      <c r="Q128" s="538">
        <f>(H128*K128)*N128</f>
        <v>1680000</v>
      </c>
      <c r="R128" s="405"/>
      <c r="S128" s="285"/>
      <c r="T128" s="285"/>
      <c r="U128" s="833"/>
    </row>
    <row r="129" spans="1:21" ht="24" customHeight="1">
      <c r="A129" s="539"/>
      <c r="B129" s="77"/>
      <c r="C129" s="1118" t="s">
        <v>86</v>
      </c>
      <c r="D129" s="1058">
        <v>0</v>
      </c>
      <c r="E129" s="1061">
        <f>Q129</f>
        <v>265040</v>
      </c>
      <c r="F129" s="1063">
        <f>E129-D129</f>
        <v>265040</v>
      </c>
      <c r="G129" s="106" t="s">
        <v>87</v>
      </c>
      <c r="H129" s="70"/>
      <c r="I129" s="71"/>
      <c r="J129" s="20"/>
      <c r="K129" s="32"/>
      <c r="L129" s="21"/>
      <c r="M129" s="21"/>
      <c r="N129" s="454"/>
      <c r="O129" s="20"/>
      <c r="P129" s="20" t="s">
        <v>3</v>
      </c>
      <c r="Q129" s="509">
        <f>SUM(Q130:Q131)</f>
        <v>265040</v>
      </c>
      <c r="R129" s="405"/>
      <c r="S129" s="285"/>
      <c r="T129" s="285"/>
      <c r="U129" s="833">
        <f>SUM(Q125,Q127,Q129)</f>
        <v>1945040</v>
      </c>
    </row>
    <row r="130" spans="1:21" ht="24" customHeight="1">
      <c r="A130" s="539"/>
      <c r="B130" s="77"/>
      <c r="C130" s="1119"/>
      <c r="D130" s="1140"/>
      <c r="E130" s="1132"/>
      <c r="F130" s="1077"/>
      <c r="G130" s="109" t="s">
        <v>88</v>
      </c>
      <c r="H130" s="151">
        <v>265040</v>
      </c>
      <c r="I130" s="12" t="s">
        <v>0</v>
      </c>
      <c r="J130" s="12"/>
      <c r="K130" s="64"/>
      <c r="L130" s="65"/>
      <c r="M130" s="65"/>
      <c r="N130" s="456"/>
      <c r="O130" s="12"/>
      <c r="P130" s="12" t="s">
        <v>3</v>
      </c>
      <c r="Q130" s="510">
        <f>H130</f>
        <v>265040</v>
      </c>
      <c r="R130" s="405"/>
      <c r="S130" s="285"/>
      <c r="T130" s="285"/>
    </row>
    <row r="131" spans="1:21" ht="24" customHeight="1" thickBot="1">
      <c r="A131" s="539"/>
      <c r="B131" s="77"/>
      <c r="C131" s="1119"/>
      <c r="D131" s="1140"/>
      <c r="E131" s="1132"/>
      <c r="F131" s="1077"/>
      <c r="G131" s="485" t="s">
        <v>786</v>
      </c>
      <c r="H131" s="151">
        <v>0</v>
      </c>
      <c r="I131" s="12" t="s">
        <v>0</v>
      </c>
      <c r="J131" s="12"/>
      <c r="K131" s="64"/>
      <c r="L131" s="65"/>
      <c r="M131" s="65" t="s">
        <v>793</v>
      </c>
      <c r="N131" s="456">
        <v>7</v>
      </c>
      <c r="O131" s="12" t="s">
        <v>800</v>
      </c>
      <c r="P131" s="12" t="s">
        <v>3</v>
      </c>
      <c r="Q131" s="510">
        <f>H131*N131</f>
        <v>0</v>
      </c>
      <c r="R131" s="405"/>
      <c r="S131" s="285"/>
      <c r="T131" s="285"/>
    </row>
    <row r="132" spans="1:21" ht="24" customHeight="1">
      <c r="A132" s="1134" t="s">
        <v>299</v>
      </c>
      <c r="B132" s="1135"/>
      <c r="C132" s="1135"/>
      <c r="D132" s="869">
        <v>0</v>
      </c>
      <c r="E132" s="814">
        <f>E133</f>
        <v>0</v>
      </c>
      <c r="F132" s="815">
        <f>E132-D132</f>
        <v>0</v>
      </c>
      <c r="G132" s="502"/>
      <c r="H132" s="503"/>
      <c r="I132" s="503"/>
      <c r="J132" s="503"/>
      <c r="K132" s="503"/>
      <c r="L132" s="503"/>
      <c r="M132" s="503"/>
      <c r="N132" s="504"/>
      <c r="O132" s="503"/>
      <c r="P132" s="503"/>
      <c r="Q132" s="839">
        <f>Q133</f>
        <v>0</v>
      </c>
      <c r="R132" s="405"/>
      <c r="S132" s="287">
        <f>Q132</f>
        <v>0</v>
      </c>
      <c r="T132" s="285"/>
    </row>
    <row r="133" spans="1:21" ht="24" customHeight="1">
      <c r="A133" s="506"/>
      <c r="B133" s="1136" t="s">
        <v>300</v>
      </c>
      <c r="C133" s="1137"/>
      <c r="D133" s="870">
        <v>0</v>
      </c>
      <c r="E133" s="802">
        <f>E134+E136</f>
        <v>0</v>
      </c>
      <c r="F133" s="816">
        <f>E133-D133</f>
        <v>0</v>
      </c>
      <c r="G133" s="130"/>
      <c r="H133" s="131"/>
      <c r="I133" s="131"/>
      <c r="J133" s="131"/>
      <c r="K133" s="131"/>
      <c r="L133" s="131"/>
      <c r="M133" s="131"/>
      <c r="N133" s="453"/>
      <c r="O133" s="131"/>
      <c r="P133" s="131"/>
      <c r="Q133" s="507">
        <f>Q134+Q136</f>
        <v>0</v>
      </c>
      <c r="R133" s="405"/>
      <c r="S133" s="285"/>
      <c r="T133" s="285"/>
    </row>
    <row r="134" spans="1:21" ht="24" customHeight="1">
      <c r="A134" s="508"/>
      <c r="B134" s="75"/>
      <c r="C134" s="1056" t="s">
        <v>301</v>
      </c>
      <c r="D134" s="1058">
        <v>0</v>
      </c>
      <c r="E134" s="1061">
        <f>Q134</f>
        <v>0</v>
      </c>
      <c r="F134" s="1063">
        <f>E134-D134</f>
        <v>0</v>
      </c>
      <c r="G134" s="112" t="s">
        <v>303</v>
      </c>
      <c r="H134" s="70"/>
      <c r="I134" s="71"/>
      <c r="J134" s="20"/>
      <c r="K134" s="32"/>
      <c r="L134" s="21"/>
      <c r="M134" s="21"/>
      <c r="N134" s="454"/>
      <c r="O134" s="20"/>
      <c r="P134" s="20" t="s">
        <v>3</v>
      </c>
      <c r="Q134" s="509">
        <f>Q135</f>
        <v>0</v>
      </c>
      <c r="R134" s="405"/>
      <c r="S134" s="285"/>
      <c r="T134" s="285"/>
    </row>
    <row r="135" spans="1:21" ht="24" customHeight="1">
      <c r="A135" s="508"/>
      <c r="B135" s="76"/>
      <c r="C135" s="1057"/>
      <c r="D135" s="1059"/>
      <c r="E135" s="1061"/>
      <c r="F135" s="1078"/>
      <c r="G135" s="485" t="s">
        <v>304</v>
      </c>
      <c r="H135" s="151">
        <f>세출예산서!Q161</f>
        <v>0</v>
      </c>
      <c r="I135" s="12" t="s">
        <v>0</v>
      </c>
      <c r="J135" s="12"/>
      <c r="K135" s="64"/>
      <c r="L135" s="65"/>
      <c r="M135" s="65"/>
      <c r="N135" s="456"/>
      <c r="O135" s="12"/>
      <c r="P135" s="12" t="s">
        <v>3</v>
      </c>
      <c r="Q135" s="510">
        <f>H135</f>
        <v>0</v>
      </c>
      <c r="R135" s="405"/>
      <c r="S135" s="285"/>
      <c r="T135" s="285"/>
    </row>
    <row r="136" spans="1:21" ht="24" customHeight="1">
      <c r="A136" s="508"/>
      <c r="B136" s="76"/>
      <c r="C136" s="1056" t="s">
        <v>302</v>
      </c>
      <c r="D136" s="1130">
        <v>0</v>
      </c>
      <c r="E136" s="1132">
        <f>Q136</f>
        <v>0</v>
      </c>
      <c r="F136" s="1063">
        <f>E136-D136</f>
        <v>0</v>
      </c>
      <c r="G136" s="105" t="s">
        <v>305</v>
      </c>
      <c r="H136" s="152"/>
      <c r="I136" s="153"/>
      <c r="J136" s="54"/>
      <c r="K136" s="154"/>
      <c r="L136" s="155"/>
      <c r="M136" s="155"/>
      <c r="N136" s="457"/>
      <c r="O136" s="54"/>
      <c r="P136" s="54" t="s">
        <v>3</v>
      </c>
      <c r="Q136" s="511">
        <f>Q137</f>
        <v>0</v>
      </c>
      <c r="R136" s="405"/>
      <c r="S136" s="285"/>
      <c r="T136" s="285"/>
    </row>
    <row r="137" spans="1:21" ht="24" customHeight="1" thickBot="1">
      <c r="A137" s="512"/>
      <c r="B137" s="513"/>
      <c r="C137" s="1129"/>
      <c r="D137" s="1131"/>
      <c r="E137" s="1133"/>
      <c r="F137" s="1064"/>
      <c r="G137" s="514" t="s">
        <v>306</v>
      </c>
      <c r="H137" s="515">
        <f>세출예산서!Q162</f>
        <v>0</v>
      </c>
      <c r="I137" s="372" t="s">
        <v>0</v>
      </c>
      <c r="J137" s="372"/>
      <c r="K137" s="516"/>
      <c r="L137" s="517"/>
      <c r="M137" s="517"/>
      <c r="N137" s="518"/>
      <c r="O137" s="372"/>
      <c r="P137" s="372" t="s">
        <v>3</v>
      </c>
      <c r="Q137" s="519">
        <f>H137</f>
        <v>0</v>
      </c>
      <c r="R137" s="405"/>
      <c r="S137" s="285"/>
      <c r="T137" s="285"/>
    </row>
    <row r="138" spans="1:21" ht="23.25" customHeight="1">
      <c r="E138" s="283"/>
      <c r="I138" s="2"/>
      <c r="J138" s="2"/>
      <c r="K138" s="2"/>
      <c r="O138" s="1158"/>
      <c r="P138" s="1158"/>
      <c r="Q138" s="1158"/>
      <c r="R138" s="290">
        <f>SUM(R5:R137)</f>
        <v>0</v>
      </c>
      <c r="S138" s="290">
        <f>SUM(S5:S137)</f>
        <v>108276200</v>
      </c>
      <c r="T138" s="290">
        <f>SUM(T4:T131)</f>
        <v>0</v>
      </c>
    </row>
    <row r="139" spans="1:21" ht="33" customHeight="1">
      <c r="E139" s="283"/>
      <c r="I139" s="2"/>
      <c r="J139" s="2"/>
      <c r="K139" s="2"/>
      <c r="Q139" s="2"/>
      <c r="R139" s="1108">
        <f>SUM(R138:T138)</f>
        <v>108276200</v>
      </c>
      <c r="S139" s="1109"/>
      <c r="T139" s="1109"/>
    </row>
    <row r="140" spans="1:21" ht="15" customHeight="1">
      <c r="E140" s="283"/>
      <c r="I140" s="2"/>
      <c r="J140" s="2"/>
      <c r="K140" s="2"/>
      <c r="Q140" s="2"/>
    </row>
    <row r="141" spans="1:21" ht="15" customHeight="1">
      <c r="E141" s="283"/>
      <c r="I141" s="2"/>
      <c r="J141" s="2"/>
      <c r="K141" s="2"/>
      <c r="Q141" s="2"/>
    </row>
    <row r="142" spans="1:21" ht="15" customHeight="1">
      <c r="E142" s="283"/>
      <c r="I142" s="2"/>
      <c r="J142" s="2"/>
      <c r="K142" s="2"/>
      <c r="Q142" s="2"/>
    </row>
    <row r="143" spans="1:21" ht="15" customHeight="1">
      <c r="E143" s="283"/>
      <c r="I143" s="2"/>
      <c r="J143" s="2"/>
      <c r="K143" s="2"/>
      <c r="Q143" s="2"/>
    </row>
    <row r="144" spans="1:21" ht="15" customHeight="1">
      <c r="E144" s="283"/>
      <c r="I144" s="2"/>
      <c r="J144" s="2"/>
      <c r="K144" s="2"/>
      <c r="Q144" s="2"/>
    </row>
    <row r="145" spans="5:17" ht="15" customHeight="1">
      <c r="E145" s="283"/>
      <c r="I145" s="2"/>
      <c r="J145" s="2"/>
      <c r="K145" s="2"/>
      <c r="Q145" s="2"/>
    </row>
    <row r="146" spans="5:17" ht="15" customHeight="1">
      <c r="E146" s="283"/>
      <c r="I146" s="2"/>
      <c r="J146" s="2"/>
      <c r="K146" s="2"/>
      <c r="Q146" s="2"/>
    </row>
    <row r="147" spans="5:17" ht="15" customHeight="1">
      <c r="E147" s="283"/>
      <c r="I147" s="2"/>
      <c r="J147" s="2"/>
      <c r="K147" s="2"/>
      <c r="Q147" s="2"/>
    </row>
    <row r="148" spans="5:17" ht="15" customHeight="1">
      <c r="E148" s="283"/>
      <c r="I148" s="2"/>
      <c r="J148" s="2"/>
      <c r="K148" s="2"/>
      <c r="Q148" s="2"/>
    </row>
    <row r="149" spans="5:17" ht="15" customHeight="1">
      <c r="E149" s="283"/>
      <c r="I149" s="2"/>
      <c r="J149" s="2"/>
      <c r="K149" s="2"/>
      <c r="Q149" s="2"/>
    </row>
    <row r="150" spans="5:17" ht="15" customHeight="1">
      <c r="E150" s="283"/>
      <c r="I150" s="2"/>
      <c r="J150" s="2"/>
      <c r="K150" s="2"/>
      <c r="Q150" s="2"/>
    </row>
    <row r="151" spans="5:17" ht="15" customHeight="1">
      <c r="E151" s="283"/>
      <c r="I151" s="2"/>
      <c r="J151" s="2"/>
      <c r="K151" s="2"/>
      <c r="Q151" s="2"/>
    </row>
    <row r="152" spans="5:17" ht="15" customHeight="1">
      <c r="E152" s="283"/>
      <c r="I152" s="2"/>
      <c r="J152" s="2"/>
      <c r="K152" s="2"/>
      <c r="Q152" s="2"/>
    </row>
    <row r="153" spans="5:17" ht="15" customHeight="1">
      <c r="E153" s="283"/>
      <c r="I153" s="2"/>
      <c r="J153" s="2"/>
      <c r="K153" s="2"/>
      <c r="Q153" s="2"/>
    </row>
    <row r="154" spans="5:17" ht="15" customHeight="1">
      <c r="E154" s="283"/>
      <c r="I154" s="2"/>
      <c r="J154" s="2"/>
      <c r="K154" s="2"/>
      <c r="Q154" s="2"/>
    </row>
    <row r="155" spans="5:17" ht="15" customHeight="1">
      <c r="E155" s="283"/>
      <c r="I155" s="2"/>
      <c r="J155" s="2"/>
      <c r="K155" s="2"/>
      <c r="Q155" s="2"/>
    </row>
    <row r="156" spans="5:17" ht="15" customHeight="1">
      <c r="E156" s="283"/>
      <c r="I156" s="2"/>
      <c r="J156" s="2"/>
      <c r="K156" s="2"/>
      <c r="Q156" s="2"/>
    </row>
    <row r="157" spans="5:17" ht="15" customHeight="1">
      <c r="E157" s="283"/>
      <c r="I157" s="2"/>
      <c r="J157" s="2"/>
      <c r="K157" s="2"/>
      <c r="Q157" s="2"/>
    </row>
    <row r="158" spans="5:17" ht="15" customHeight="1">
      <c r="E158" s="283"/>
      <c r="I158" s="2"/>
      <c r="J158" s="2"/>
      <c r="K158" s="2"/>
      <c r="Q158" s="2"/>
    </row>
    <row r="159" spans="5:17" ht="15" customHeight="1">
      <c r="E159" s="283"/>
      <c r="I159" s="2"/>
      <c r="J159" s="2"/>
      <c r="K159" s="2"/>
      <c r="Q159" s="2"/>
    </row>
    <row r="160" spans="5:17" ht="15" customHeight="1">
      <c r="E160" s="283"/>
      <c r="I160" s="2"/>
      <c r="J160" s="2"/>
      <c r="K160" s="2"/>
      <c r="Q160" s="2"/>
    </row>
    <row r="161" spans="5:17" ht="15" customHeight="1">
      <c r="E161" s="283"/>
      <c r="I161" s="2"/>
      <c r="J161" s="2"/>
      <c r="K161" s="2"/>
      <c r="Q161" s="2"/>
    </row>
    <row r="162" spans="5:17" ht="15" customHeight="1">
      <c r="E162" s="283"/>
      <c r="I162" s="2"/>
      <c r="J162" s="2"/>
      <c r="K162" s="2"/>
      <c r="Q162" s="2"/>
    </row>
    <row r="163" spans="5:17" ht="15" customHeight="1">
      <c r="E163" s="283"/>
      <c r="I163" s="2"/>
      <c r="J163" s="2"/>
      <c r="K163" s="2"/>
      <c r="Q163" s="2"/>
    </row>
    <row r="164" spans="5:17" ht="15" customHeight="1">
      <c r="E164" s="283"/>
      <c r="I164" s="2"/>
      <c r="J164" s="2"/>
      <c r="K164" s="2"/>
      <c r="Q164" s="2"/>
    </row>
    <row r="165" spans="5:17" ht="15" customHeight="1">
      <c r="E165" s="283"/>
      <c r="I165" s="2"/>
      <c r="J165" s="2"/>
      <c r="K165" s="2"/>
      <c r="Q165" s="2"/>
    </row>
    <row r="166" spans="5:17" ht="15" customHeight="1">
      <c r="E166" s="283"/>
      <c r="I166" s="2"/>
      <c r="J166" s="2"/>
      <c r="K166" s="2"/>
      <c r="Q166" s="2"/>
    </row>
    <row r="167" spans="5:17" ht="15" customHeight="1">
      <c r="E167" s="283"/>
      <c r="I167" s="2"/>
      <c r="J167" s="2"/>
      <c r="K167" s="2"/>
      <c r="Q167" s="2"/>
    </row>
    <row r="168" spans="5:17" ht="15" customHeight="1">
      <c r="E168" s="283"/>
      <c r="I168" s="2"/>
      <c r="J168" s="2"/>
      <c r="K168" s="2"/>
      <c r="Q168" s="2"/>
    </row>
    <row r="169" spans="5:17" ht="15" customHeight="1">
      <c r="E169" s="283"/>
      <c r="I169" s="2"/>
      <c r="J169" s="2"/>
      <c r="K169" s="2"/>
      <c r="Q169" s="2"/>
    </row>
    <row r="170" spans="5:17" ht="15" customHeight="1">
      <c r="E170" s="283"/>
      <c r="I170" s="2"/>
      <c r="J170" s="2"/>
      <c r="K170" s="2"/>
      <c r="Q170" s="2"/>
    </row>
    <row r="171" spans="5:17" ht="15" customHeight="1">
      <c r="E171" s="283"/>
      <c r="I171" s="2"/>
      <c r="J171" s="2"/>
      <c r="K171" s="2"/>
      <c r="Q171" s="2"/>
    </row>
    <row r="172" spans="5:17" ht="15" customHeight="1">
      <c r="E172" s="283"/>
      <c r="I172" s="2"/>
      <c r="J172" s="2"/>
      <c r="K172" s="2"/>
      <c r="Q172" s="2"/>
    </row>
    <row r="173" spans="5:17" ht="15" customHeight="1">
      <c r="E173" s="283"/>
      <c r="I173" s="2"/>
      <c r="J173" s="2"/>
      <c r="K173" s="2"/>
      <c r="Q173" s="2"/>
    </row>
    <row r="174" spans="5:17" ht="15" customHeight="1">
      <c r="E174" s="283"/>
      <c r="I174" s="2"/>
      <c r="J174" s="2"/>
      <c r="K174" s="2"/>
      <c r="Q174" s="2"/>
    </row>
    <row r="175" spans="5:17" ht="15" customHeight="1">
      <c r="E175" s="283"/>
      <c r="I175" s="2"/>
      <c r="J175" s="2"/>
      <c r="K175" s="2"/>
      <c r="Q175" s="2"/>
    </row>
    <row r="176" spans="5:17" ht="15" customHeight="1">
      <c r="E176" s="283"/>
      <c r="I176" s="2"/>
      <c r="J176" s="2"/>
      <c r="K176" s="2"/>
      <c r="Q176" s="2"/>
    </row>
    <row r="177" spans="5:17" ht="15" customHeight="1">
      <c r="E177" s="283"/>
      <c r="I177" s="2"/>
      <c r="J177" s="2"/>
      <c r="K177" s="2"/>
      <c r="Q177" s="2"/>
    </row>
    <row r="178" spans="5:17" ht="15" customHeight="1">
      <c r="E178" s="283"/>
      <c r="I178" s="2"/>
      <c r="J178" s="2"/>
      <c r="K178" s="2"/>
      <c r="Q178" s="2"/>
    </row>
    <row r="179" spans="5:17" ht="15" customHeight="1">
      <c r="E179" s="283"/>
      <c r="I179" s="2"/>
      <c r="J179" s="2"/>
      <c r="K179" s="2"/>
      <c r="Q179" s="2"/>
    </row>
    <row r="180" spans="5:17" ht="15" customHeight="1">
      <c r="E180" s="283"/>
      <c r="I180" s="2"/>
      <c r="J180" s="2"/>
      <c r="K180" s="2"/>
      <c r="Q180" s="2"/>
    </row>
    <row r="181" spans="5:17" ht="15" customHeight="1">
      <c r="E181" s="283"/>
      <c r="I181" s="2"/>
      <c r="J181" s="2"/>
      <c r="K181" s="2"/>
      <c r="Q181" s="2"/>
    </row>
    <row r="182" spans="5:17" ht="15" customHeight="1">
      <c r="E182" s="283"/>
      <c r="I182" s="2"/>
      <c r="J182" s="2"/>
      <c r="K182" s="2"/>
      <c r="Q182" s="2"/>
    </row>
    <row r="183" spans="5:17" ht="15" customHeight="1">
      <c r="E183" s="283"/>
      <c r="I183" s="2"/>
      <c r="J183" s="2"/>
      <c r="K183" s="2"/>
      <c r="Q183" s="2"/>
    </row>
    <row r="184" spans="5:17" ht="15" customHeight="1">
      <c r="E184" s="283"/>
      <c r="I184" s="2"/>
      <c r="J184" s="2"/>
      <c r="K184" s="2"/>
      <c r="Q184" s="2"/>
    </row>
    <row r="185" spans="5:17" ht="15" customHeight="1">
      <c r="E185" s="283"/>
      <c r="I185" s="2"/>
      <c r="J185" s="2"/>
      <c r="K185" s="2"/>
      <c r="Q185" s="2"/>
    </row>
    <row r="186" spans="5:17" ht="15" customHeight="1">
      <c r="E186" s="283"/>
      <c r="I186" s="2"/>
      <c r="J186" s="2"/>
      <c r="K186" s="2"/>
      <c r="Q186" s="2"/>
    </row>
    <row r="187" spans="5:17" ht="15" customHeight="1">
      <c r="E187" s="283"/>
      <c r="I187" s="2"/>
      <c r="J187" s="2"/>
      <c r="K187" s="2"/>
      <c r="Q187" s="2"/>
    </row>
    <row r="188" spans="5:17" ht="15" customHeight="1">
      <c r="E188" s="283"/>
      <c r="I188" s="2"/>
      <c r="J188" s="2"/>
      <c r="K188" s="2"/>
      <c r="Q188" s="2"/>
    </row>
    <row r="189" spans="5:17" ht="15" customHeight="1">
      <c r="E189" s="283"/>
      <c r="I189" s="2"/>
      <c r="J189" s="2"/>
      <c r="K189" s="2"/>
      <c r="Q189" s="2"/>
    </row>
    <row r="190" spans="5:17" ht="15" customHeight="1">
      <c r="E190" s="283"/>
      <c r="I190" s="2"/>
      <c r="J190" s="2"/>
      <c r="K190" s="2"/>
      <c r="Q190" s="2"/>
    </row>
    <row r="191" spans="5:17" ht="15" customHeight="1">
      <c r="E191" s="283"/>
      <c r="I191" s="2"/>
      <c r="J191" s="2"/>
      <c r="K191" s="2"/>
      <c r="Q191" s="2"/>
    </row>
    <row r="192" spans="5:17" ht="15" customHeight="1">
      <c r="E192" s="283"/>
      <c r="I192" s="2"/>
      <c r="J192" s="2"/>
      <c r="K192" s="2"/>
      <c r="Q192" s="2"/>
    </row>
    <row r="193" spans="5:17" ht="15" customHeight="1">
      <c r="E193" s="283"/>
      <c r="I193" s="2"/>
      <c r="J193" s="2"/>
      <c r="K193" s="2"/>
      <c r="Q193" s="2"/>
    </row>
    <row r="194" spans="5:17" ht="15" customHeight="1">
      <c r="E194" s="283"/>
      <c r="I194" s="2"/>
      <c r="J194" s="2"/>
      <c r="K194" s="2"/>
      <c r="Q194" s="2"/>
    </row>
    <row r="195" spans="5:17" ht="15" customHeight="1">
      <c r="E195" s="283"/>
      <c r="I195" s="2"/>
      <c r="J195" s="2"/>
      <c r="K195" s="2"/>
      <c r="Q195" s="2"/>
    </row>
    <row r="196" spans="5:17" ht="15" customHeight="1">
      <c r="E196" s="283"/>
      <c r="I196" s="2"/>
      <c r="J196" s="2"/>
      <c r="K196" s="2"/>
      <c r="Q196" s="2"/>
    </row>
    <row r="197" spans="5:17" ht="15" customHeight="1">
      <c r="E197" s="283"/>
      <c r="I197" s="2"/>
      <c r="J197" s="2"/>
      <c r="K197" s="2"/>
      <c r="Q197" s="2"/>
    </row>
    <row r="198" spans="5:17" ht="15" customHeight="1">
      <c r="E198" s="283"/>
      <c r="I198" s="2"/>
      <c r="J198" s="2"/>
      <c r="K198" s="2"/>
      <c r="Q198" s="2"/>
    </row>
    <row r="199" spans="5:17" ht="15" customHeight="1">
      <c r="E199" s="283"/>
      <c r="I199" s="2"/>
      <c r="J199" s="2"/>
      <c r="K199" s="2"/>
      <c r="Q199" s="2"/>
    </row>
    <row r="200" spans="5:17" ht="15" customHeight="1">
      <c r="E200" s="283"/>
      <c r="I200" s="2"/>
      <c r="J200" s="2"/>
      <c r="K200" s="2"/>
      <c r="Q200" s="2"/>
    </row>
    <row r="201" spans="5:17" ht="15" customHeight="1">
      <c r="E201" s="283"/>
      <c r="I201" s="2"/>
      <c r="J201" s="2"/>
      <c r="K201" s="2"/>
      <c r="Q201" s="2"/>
    </row>
    <row r="202" spans="5:17" ht="15" customHeight="1">
      <c r="E202" s="283"/>
      <c r="I202" s="2"/>
      <c r="J202" s="2"/>
      <c r="K202" s="2"/>
      <c r="Q202" s="2"/>
    </row>
    <row r="203" spans="5:17" ht="15" customHeight="1">
      <c r="E203" s="283"/>
      <c r="I203" s="2"/>
      <c r="J203" s="2"/>
      <c r="K203" s="2"/>
      <c r="Q203" s="2"/>
    </row>
    <row r="204" spans="5:17" ht="15" customHeight="1">
      <c r="E204" s="283"/>
      <c r="I204" s="2"/>
      <c r="J204" s="2"/>
      <c r="K204" s="2"/>
      <c r="Q204" s="2"/>
    </row>
    <row r="205" spans="5:17" ht="15" customHeight="1">
      <c r="E205" s="283"/>
      <c r="I205" s="2"/>
      <c r="J205" s="2"/>
      <c r="K205" s="2"/>
      <c r="Q205" s="2"/>
    </row>
    <row r="206" spans="5:17" ht="15" customHeight="1">
      <c r="E206" s="283"/>
      <c r="I206" s="2"/>
      <c r="J206" s="2"/>
      <c r="K206" s="2"/>
      <c r="Q206" s="2"/>
    </row>
    <row r="207" spans="5:17" ht="15" customHeight="1">
      <c r="E207" s="283"/>
      <c r="I207" s="2"/>
      <c r="J207" s="2"/>
      <c r="K207" s="2"/>
      <c r="Q207" s="2"/>
    </row>
    <row r="208" spans="5:17" ht="15" customHeight="1">
      <c r="E208" s="283"/>
      <c r="I208" s="2"/>
      <c r="J208" s="2"/>
      <c r="K208" s="2"/>
      <c r="Q208" s="2"/>
    </row>
    <row r="209" spans="5:17" ht="15" customHeight="1">
      <c r="E209" s="283"/>
      <c r="I209" s="2"/>
      <c r="J209" s="2"/>
      <c r="K209" s="2"/>
      <c r="Q209" s="2"/>
    </row>
    <row r="210" spans="5:17" ht="15" customHeight="1">
      <c r="E210" s="283"/>
      <c r="I210" s="2"/>
      <c r="J210" s="2"/>
      <c r="K210" s="2"/>
      <c r="Q210" s="2"/>
    </row>
    <row r="211" spans="5:17" ht="15" customHeight="1">
      <c r="E211" s="283"/>
      <c r="I211" s="2"/>
      <c r="J211" s="2"/>
      <c r="K211" s="2"/>
      <c r="Q211" s="2"/>
    </row>
    <row r="212" spans="5:17" ht="15" customHeight="1">
      <c r="E212" s="283"/>
      <c r="I212" s="2"/>
      <c r="J212" s="2"/>
      <c r="K212" s="2"/>
      <c r="Q212" s="2"/>
    </row>
    <row r="213" spans="5:17" ht="15" customHeight="1">
      <c r="E213" s="283"/>
      <c r="I213" s="2"/>
      <c r="J213" s="2"/>
      <c r="K213" s="2"/>
      <c r="Q213" s="2"/>
    </row>
    <row r="214" spans="5:17" ht="15" customHeight="1">
      <c r="E214" s="283"/>
      <c r="I214" s="2"/>
      <c r="J214" s="2"/>
      <c r="K214" s="2"/>
      <c r="Q214" s="2"/>
    </row>
    <row r="215" spans="5:17" ht="15" customHeight="1">
      <c r="E215" s="283"/>
      <c r="I215" s="2"/>
      <c r="J215" s="2"/>
      <c r="K215" s="2"/>
      <c r="Q215" s="2"/>
    </row>
    <row r="216" spans="5:17" ht="15" customHeight="1">
      <c r="E216" s="283"/>
      <c r="I216" s="2"/>
      <c r="J216" s="2"/>
      <c r="K216" s="2"/>
      <c r="Q216" s="2"/>
    </row>
    <row r="217" spans="5:17" ht="15" customHeight="1">
      <c r="E217" s="283"/>
      <c r="I217" s="2"/>
      <c r="J217" s="2"/>
      <c r="K217" s="2"/>
      <c r="Q217" s="2"/>
    </row>
    <row r="218" spans="5:17" ht="15" customHeight="1">
      <c r="E218" s="283"/>
      <c r="I218" s="2"/>
      <c r="J218" s="2"/>
      <c r="K218" s="2"/>
      <c r="Q218" s="2"/>
    </row>
    <row r="219" spans="5:17" ht="15" customHeight="1">
      <c r="E219" s="283"/>
      <c r="I219" s="2"/>
      <c r="J219" s="2"/>
      <c r="K219" s="2"/>
      <c r="Q219" s="2"/>
    </row>
    <row r="220" spans="5:17" ht="15" customHeight="1">
      <c r="E220" s="283"/>
      <c r="I220" s="2"/>
      <c r="J220" s="2"/>
      <c r="K220" s="2"/>
      <c r="Q220" s="2"/>
    </row>
    <row r="221" spans="5:17" ht="15" customHeight="1">
      <c r="E221" s="283"/>
      <c r="I221" s="2"/>
      <c r="J221" s="2"/>
      <c r="K221" s="2"/>
      <c r="Q221" s="2"/>
    </row>
    <row r="222" spans="5:17" ht="15" customHeight="1">
      <c r="E222" s="283"/>
      <c r="I222" s="2"/>
      <c r="J222" s="2"/>
      <c r="K222" s="2"/>
      <c r="Q222" s="2"/>
    </row>
    <row r="223" spans="5:17" ht="15" customHeight="1">
      <c r="E223" s="283"/>
      <c r="I223" s="2"/>
      <c r="J223" s="2"/>
      <c r="K223" s="2"/>
      <c r="Q223" s="2"/>
    </row>
    <row r="224" spans="5:17" ht="15" customHeight="1">
      <c r="E224" s="283"/>
      <c r="I224" s="2"/>
      <c r="J224" s="2"/>
      <c r="K224" s="2"/>
      <c r="Q224" s="2"/>
    </row>
    <row r="225" spans="5:17" ht="15" customHeight="1">
      <c r="E225" s="283"/>
      <c r="I225" s="2"/>
      <c r="J225" s="2"/>
      <c r="K225" s="2"/>
      <c r="Q225" s="2"/>
    </row>
    <row r="226" spans="5:17" ht="15" customHeight="1">
      <c r="E226" s="283"/>
      <c r="I226" s="2"/>
      <c r="J226" s="2"/>
      <c r="K226" s="2"/>
      <c r="Q226" s="2"/>
    </row>
    <row r="227" spans="5:17" ht="15" customHeight="1">
      <c r="E227" s="283"/>
      <c r="I227" s="2"/>
      <c r="J227" s="2"/>
      <c r="K227" s="2"/>
      <c r="Q227" s="2"/>
    </row>
    <row r="228" spans="5:17" ht="15" customHeight="1">
      <c r="E228" s="283"/>
      <c r="I228" s="2"/>
      <c r="J228" s="2"/>
      <c r="K228" s="2"/>
      <c r="Q228" s="2"/>
    </row>
    <row r="229" spans="5:17" ht="15" customHeight="1">
      <c r="E229" s="283"/>
      <c r="I229" s="2"/>
      <c r="J229" s="2"/>
      <c r="K229" s="2"/>
      <c r="Q229" s="2"/>
    </row>
    <row r="230" spans="5:17" ht="15" customHeight="1">
      <c r="E230" s="283"/>
      <c r="I230" s="2"/>
      <c r="J230" s="2"/>
      <c r="K230" s="2"/>
      <c r="Q230" s="2"/>
    </row>
    <row r="231" spans="5:17" ht="15" customHeight="1">
      <c r="E231" s="283"/>
      <c r="I231" s="2"/>
      <c r="J231" s="2"/>
      <c r="K231" s="2"/>
      <c r="Q231" s="2"/>
    </row>
    <row r="232" spans="5:17" ht="15" customHeight="1">
      <c r="E232" s="283"/>
      <c r="I232" s="2"/>
      <c r="J232" s="2"/>
      <c r="K232" s="2"/>
      <c r="Q232" s="2"/>
    </row>
    <row r="233" spans="5:17" ht="15" customHeight="1">
      <c r="E233" s="283"/>
      <c r="I233" s="2"/>
      <c r="J233" s="2"/>
      <c r="K233" s="2"/>
      <c r="Q233" s="2"/>
    </row>
    <row r="234" spans="5:17" ht="15" customHeight="1">
      <c r="E234" s="283"/>
      <c r="I234" s="2"/>
      <c r="J234" s="2"/>
      <c r="K234" s="2"/>
      <c r="Q234" s="2"/>
    </row>
    <row r="235" spans="5:17" ht="15" customHeight="1">
      <c r="E235" s="283"/>
      <c r="I235" s="2"/>
      <c r="J235" s="2"/>
      <c r="K235" s="2"/>
      <c r="Q235" s="2"/>
    </row>
    <row r="236" spans="5:17" ht="15" customHeight="1">
      <c r="E236" s="283"/>
      <c r="I236" s="2"/>
      <c r="J236" s="2"/>
      <c r="K236" s="2"/>
      <c r="Q236" s="2"/>
    </row>
    <row r="237" spans="5:17" ht="15" customHeight="1">
      <c r="E237" s="283"/>
      <c r="I237" s="2"/>
      <c r="J237" s="2"/>
      <c r="K237" s="2"/>
      <c r="Q237" s="2"/>
    </row>
    <row r="238" spans="5:17" ht="15" customHeight="1">
      <c r="E238" s="283"/>
      <c r="I238" s="2"/>
      <c r="J238" s="2"/>
      <c r="K238" s="2"/>
      <c r="Q238" s="2"/>
    </row>
    <row r="239" spans="5:17" ht="15" customHeight="1">
      <c r="E239" s="283"/>
      <c r="I239" s="2"/>
      <c r="J239" s="2"/>
      <c r="K239" s="2"/>
      <c r="Q239" s="2"/>
    </row>
    <row r="240" spans="5:17" ht="15" customHeight="1">
      <c r="E240" s="283"/>
      <c r="I240" s="2"/>
      <c r="J240" s="2"/>
      <c r="K240" s="2"/>
      <c r="Q240" s="2"/>
    </row>
    <row r="241" spans="5:17" ht="15" customHeight="1">
      <c r="E241" s="283"/>
      <c r="I241" s="2"/>
      <c r="J241" s="2"/>
      <c r="K241" s="2"/>
      <c r="Q241" s="2"/>
    </row>
    <row r="242" spans="5:17" ht="15" customHeight="1">
      <c r="E242" s="283"/>
      <c r="I242" s="2"/>
      <c r="J242" s="2"/>
      <c r="K242" s="2"/>
      <c r="Q242" s="2"/>
    </row>
    <row r="243" spans="5:17" ht="15" customHeight="1">
      <c r="E243" s="283"/>
      <c r="I243" s="2"/>
      <c r="J243" s="2"/>
      <c r="K243" s="2"/>
      <c r="Q243" s="2"/>
    </row>
    <row r="244" spans="5:17" ht="15" customHeight="1">
      <c r="E244" s="283"/>
      <c r="I244" s="2"/>
      <c r="J244" s="2"/>
      <c r="K244" s="2"/>
      <c r="Q244" s="2"/>
    </row>
    <row r="245" spans="5:17" ht="15" customHeight="1">
      <c r="E245" s="283"/>
      <c r="I245" s="2"/>
      <c r="J245" s="2"/>
      <c r="K245" s="2"/>
      <c r="Q245" s="2"/>
    </row>
    <row r="246" spans="5:17" ht="15" customHeight="1">
      <c r="E246" s="283"/>
      <c r="I246" s="2"/>
      <c r="J246" s="2"/>
      <c r="K246" s="2"/>
      <c r="Q246" s="2"/>
    </row>
    <row r="247" spans="5:17" ht="15" customHeight="1">
      <c r="E247" s="283"/>
      <c r="I247" s="2"/>
      <c r="J247" s="2"/>
      <c r="K247" s="2"/>
      <c r="Q247" s="2"/>
    </row>
    <row r="248" spans="5:17" ht="15" customHeight="1">
      <c r="E248" s="283"/>
      <c r="I248" s="2"/>
      <c r="J248" s="2"/>
      <c r="K248" s="2"/>
      <c r="Q248" s="2"/>
    </row>
    <row r="249" spans="5:17" ht="15" customHeight="1">
      <c r="E249" s="283"/>
      <c r="I249" s="2"/>
      <c r="J249" s="2"/>
      <c r="K249" s="2"/>
      <c r="Q249" s="2"/>
    </row>
    <row r="250" spans="5:17" ht="15" customHeight="1">
      <c r="E250" s="283"/>
      <c r="I250" s="2"/>
      <c r="J250" s="2"/>
      <c r="K250" s="2"/>
      <c r="Q250" s="2"/>
    </row>
    <row r="251" spans="5:17" ht="15" customHeight="1">
      <c r="E251" s="283"/>
      <c r="I251" s="2"/>
      <c r="J251" s="2"/>
      <c r="K251" s="2"/>
      <c r="Q251" s="2"/>
    </row>
    <row r="252" spans="5:17" ht="15" customHeight="1">
      <c r="E252" s="283"/>
      <c r="I252" s="2"/>
      <c r="J252" s="2"/>
      <c r="K252" s="2"/>
      <c r="Q252" s="2"/>
    </row>
    <row r="253" spans="5:17" ht="15" customHeight="1">
      <c r="E253" s="283"/>
      <c r="I253" s="2"/>
      <c r="J253" s="2"/>
      <c r="K253" s="2"/>
      <c r="Q253" s="2"/>
    </row>
    <row r="254" spans="5:17" ht="15" customHeight="1">
      <c r="E254" s="283"/>
      <c r="I254" s="2"/>
      <c r="J254" s="2"/>
      <c r="K254" s="2"/>
      <c r="Q254" s="2"/>
    </row>
    <row r="255" spans="5:17" ht="15" customHeight="1">
      <c r="E255" s="283"/>
      <c r="I255" s="2"/>
      <c r="J255" s="2"/>
      <c r="K255" s="2"/>
      <c r="Q255" s="2"/>
    </row>
    <row r="256" spans="5:17" ht="15" customHeight="1">
      <c r="E256" s="283"/>
      <c r="I256" s="2"/>
      <c r="J256" s="2"/>
      <c r="K256" s="2"/>
      <c r="Q256" s="2"/>
    </row>
    <row r="257" spans="5:17" ht="15" customHeight="1">
      <c r="E257" s="283"/>
      <c r="I257" s="2"/>
      <c r="J257" s="2"/>
      <c r="K257" s="2"/>
      <c r="Q257" s="2"/>
    </row>
    <row r="258" spans="5:17" ht="15" customHeight="1">
      <c r="E258" s="283"/>
      <c r="I258" s="2"/>
      <c r="J258" s="2"/>
      <c r="K258" s="2"/>
      <c r="Q258" s="2"/>
    </row>
    <row r="259" spans="5:17" ht="15" customHeight="1">
      <c r="E259" s="283"/>
      <c r="I259" s="2"/>
      <c r="J259" s="2"/>
      <c r="K259" s="2"/>
      <c r="Q259" s="2"/>
    </row>
    <row r="260" spans="5:17" ht="15" customHeight="1">
      <c r="E260" s="283"/>
      <c r="I260" s="2"/>
      <c r="J260" s="2"/>
      <c r="K260" s="2"/>
      <c r="Q260" s="2"/>
    </row>
    <row r="261" spans="5:17" ht="15" customHeight="1">
      <c r="E261" s="283"/>
      <c r="I261" s="2"/>
      <c r="J261" s="2"/>
      <c r="K261" s="2"/>
      <c r="Q261" s="2"/>
    </row>
    <row r="262" spans="5:17" ht="15" customHeight="1">
      <c r="E262" s="283"/>
      <c r="I262" s="2"/>
      <c r="J262" s="2"/>
      <c r="K262" s="2"/>
      <c r="Q262" s="2"/>
    </row>
    <row r="263" spans="5:17" ht="15" customHeight="1">
      <c r="E263" s="283"/>
      <c r="I263" s="2"/>
      <c r="J263" s="2"/>
      <c r="K263" s="2"/>
      <c r="Q263" s="2"/>
    </row>
    <row r="264" spans="5:17" ht="15" customHeight="1">
      <c r="E264" s="283"/>
      <c r="I264" s="2"/>
      <c r="J264" s="2"/>
      <c r="K264" s="2"/>
      <c r="Q264" s="2"/>
    </row>
    <row r="265" spans="5:17" ht="15" customHeight="1">
      <c r="E265" s="283"/>
      <c r="I265" s="2"/>
      <c r="J265" s="2"/>
      <c r="K265" s="2"/>
      <c r="Q265" s="2"/>
    </row>
    <row r="266" spans="5:17" ht="15" customHeight="1">
      <c r="E266" s="283"/>
      <c r="I266" s="2"/>
      <c r="J266" s="2"/>
      <c r="K266" s="2"/>
      <c r="Q266" s="2"/>
    </row>
    <row r="267" spans="5:17" ht="15" customHeight="1">
      <c r="E267" s="283"/>
      <c r="I267" s="2"/>
      <c r="J267" s="2"/>
      <c r="K267" s="2"/>
      <c r="Q267" s="2"/>
    </row>
    <row r="268" spans="5:17" ht="15" customHeight="1">
      <c r="E268" s="283"/>
      <c r="I268" s="2"/>
      <c r="J268" s="2"/>
      <c r="K268" s="2"/>
      <c r="Q268" s="2"/>
    </row>
    <row r="269" spans="5:17" ht="15" customHeight="1">
      <c r="E269" s="283"/>
      <c r="I269" s="2"/>
      <c r="J269" s="2"/>
      <c r="K269" s="2"/>
      <c r="Q269" s="2"/>
    </row>
    <row r="270" spans="5:17" ht="15" customHeight="1">
      <c r="E270" s="283"/>
      <c r="I270" s="2"/>
      <c r="J270" s="2"/>
      <c r="K270" s="2"/>
      <c r="Q270" s="2"/>
    </row>
    <row r="271" spans="5:17" ht="15" customHeight="1">
      <c r="E271" s="283"/>
      <c r="I271" s="2"/>
      <c r="J271" s="2"/>
      <c r="K271" s="2"/>
      <c r="Q271" s="2"/>
    </row>
    <row r="272" spans="5:17" ht="15" customHeight="1">
      <c r="E272" s="283"/>
      <c r="I272" s="2"/>
      <c r="J272" s="2"/>
      <c r="K272" s="2"/>
      <c r="Q272" s="2"/>
    </row>
    <row r="273" spans="5:17" ht="15" customHeight="1">
      <c r="E273" s="283"/>
      <c r="I273" s="2"/>
      <c r="J273" s="2"/>
      <c r="K273" s="2"/>
      <c r="Q273" s="2"/>
    </row>
    <row r="274" spans="5:17" ht="15" customHeight="1">
      <c r="E274" s="283"/>
      <c r="I274" s="2"/>
      <c r="J274" s="2"/>
      <c r="K274" s="2"/>
      <c r="Q274" s="2"/>
    </row>
    <row r="275" spans="5:17" ht="15" customHeight="1">
      <c r="E275" s="283"/>
      <c r="I275" s="2"/>
      <c r="J275" s="2"/>
      <c r="K275" s="2"/>
      <c r="Q275" s="2"/>
    </row>
    <row r="276" spans="5:17" ht="15" customHeight="1">
      <c r="E276" s="283"/>
      <c r="I276" s="2"/>
      <c r="J276" s="2"/>
      <c r="K276" s="2"/>
      <c r="Q276" s="2"/>
    </row>
    <row r="277" spans="5:17" ht="15" customHeight="1">
      <c r="E277" s="283"/>
      <c r="I277" s="2"/>
      <c r="J277" s="2"/>
      <c r="K277" s="2"/>
      <c r="Q277" s="2"/>
    </row>
    <row r="278" spans="5:17" ht="15" customHeight="1">
      <c r="E278" s="283"/>
      <c r="I278" s="2"/>
      <c r="J278" s="2"/>
      <c r="K278" s="2"/>
      <c r="Q278" s="2"/>
    </row>
    <row r="279" spans="5:17" ht="15" customHeight="1">
      <c r="E279" s="283"/>
      <c r="I279" s="2"/>
      <c r="J279" s="2"/>
      <c r="K279" s="2"/>
      <c r="Q279" s="2"/>
    </row>
    <row r="280" spans="5:17" ht="15" customHeight="1">
      <c r="E280" s="283"/>
      <c r="I280" s="2"/>
      <c r="J280" s="2"/>
      <c r="K280" s="2"/>
      <c r="Q280" s="2"/>
    </row>
    <row r="281" spans="5:17" ht="15" customHeight="1">
      <c r="E281" s="283"/>
      <c r="I281" s="2"/>
      <c r="J281" s="2"/>
      <c r="K281" s="2"/>
      <c r="Q281" s="2"/>
    </row>
    <row r="282" spans="5:17" ht="15" customHeight="1">
      <c r="E282" s="283"/>
      <c r="I282" s="2"/>
      <c r="J282" s="2"/>
      <c r="K282" s="2"/>
      <c r="Q282" s="2"/>
    </row>
    <row r="283" spans="5:17" ht="15" customHeight="1">
      <c r="E283" s="283"/>
      <c r="I283" s="2"/>
      <c r="J283" s="2"/>
      <c r="K283" s="2"/>
      <c r="Q283" s="2"/>
    </row>
    <row r="284" spans="5:17" ht="15" customHeight="1">
      <c r="E284" s="283"/>
      <c r="I284" s="2"/>
      <c r="J284" s="2"/>
      <c r="K284" s="2"/>
      <c r="Q284" s="2"/>
    </row>
    <row r="285" spans="5:17" ht="15" customHeight="1">
      <c r="E285" s="283"/>
      <c r="I285" s="2"/>
      <c r="J285" s="2"/>
      <c r="K285" s="2"/>
      <c r="Q285" s="2"/>
    </row>
    <row r="286" spans="5:17" ht="15" customHeight="1">
      <c r="E286" s="283"/>
      <c r="I286" s="2"/>
      <c r="J286" s="2"/>
      <c r="K286" s="2"/>
      <c r="Q286" s="2"/>
    </row>
    <row r="287" spans="5:17" ht="15" customHeight="1">
      <c r="E287" s="283"/>
      <c r="I287" s="2"/>
      <c r="J287" s="2"/>
      <c r="K287" s="2"/>
      <c r="Q287" s="2"/>
    </row>
    <row r="288" spans="5:17" ht="15" customHeight="1">
      <c r="E288" s="283"/>
      <c r="I288" s="2"/>
      <c r="J288" s="2"/>
      <c r="K288" s="2"/>
      <c r="Q288" s="2"/>
    </row>
    <row r="289" spans="5:17" ht="15" customHeight="1">
      <c r="E289" s="283"/>
      <c r="I289" s="2"/>
      <c r="J289" s="2"/>
      <c r="K289" s="2"/>
      <c r="Q289" s="2"/>
    </row>
    <row r="290" spans="5:17" ht="15" customHeight="1">
      <c r="E290" s="283"/>
      <c r="I290" s="2"/>
      <c r="J290" s="2"/>
      <c r="K290" s="2"/>
      <c r="Q290" s="2"/>
    </row>
    <row r="291" spans="5:17" ht="15" customHeight="1">
      <c r="E291" s="283"/>
      <c r="I291" s="2"/>
      <c r="J291" s="2"/>
      <c r="K291" s="2"/>
      <c r="Q291" s="2"/>
    </row>
    <row r="292" spans="5:17" ht="15" customHeight="1">
      <c r="E292" s="283"/>
      <c r="I292" s="2"/>
      <c r="J292" s="2"/>
      <c r="K292" s="2"/>
      <c r="Q292" s="2"/>
    </row>
    <row r="293" spans="5:17" ht="15" customHeight="1">
      <c r="E293" s="283"/>
      <c r="I293" s="2"/>
      <c r="J293" s="2"/>
      <c r="K293" s="2"/>
      <c r="Q293" s="2"/>
    </row>
    <row r="294" spans="5:17" ht="15" customHeight="1">
      <c r="E294" s="283"/>
      <c r="I294" s="2"/>
      <c r="J294" s="2"/>
      <c r="K294" s="2"/>
      <c r="Q294" s="2"/>
    </row>
    <row r="295" spans="5:17" ht="15" customHeight="1">
      <c r="E295" s="283"/>
      <c r="I295" s="2"/>
      <c r="J295" s="2"/>
      <c r="K295" s="2"/>
      <c r="Q295" s="2"/>
    </row>
    <row r="296" spans="5:17" ht="15" customHeight="1">
      <c r="E296" s="283"/>
      <c r="I296" s="2"/>
      <c r="J296" s="2"/>
      <c r="K296" s="2"/>
      <c r="Q296" s="2"/>
    </row>
    <row r="297" spans="5:17" ht="15" customHeight="1">
      <c r="E297" s="283"/>
      <c r="I297" s="2"/>
      <c r="J297" s="2"/>
      <c r="K297" s="2"/>
      <c r="Q297" s="2"/>
    </row>
    <row r="298" spans="5:17" ht="15" customHeight="1">
      <c r="E298" s="283"/>
      <c r="I298" s="2"/>
      <c r="J298" s="2"/>
      <c r="K298" s="2"/>
      <c r="Q298" s="2"/>
    </row>
    <row r="299" spans="5:17" ht="15" customHeight="1">
      <c r="E299" s="283"/>
      <c r="I299" s="2"/>
      <c r="J299" s="2"/>
      <c r="K299" s="2"/>
      <c r="Q299" s="2"/>
    </row>
    <row r="300" spans="5:17" ht="14.1" customHeight="1">
      <c r="E300" s="283"/>
      <c r="I300" s="2"/>
      <c r="J300" s="2"/>
      <c r="K300" s="2"/>
      <c r="Q300" s="2"/>
    </row>
    <row r="301" spans="5:17" ht="14.1" customHeight="1">
      <c r="E301" s="283"/>
      <c r="I301" s="2"/>
      <c r="J301" s="2"/>
      <c r="K301" s="2"/>
      <c r="Q301" s="2"/>
    </row>
    <row r="302" spans="5:17" ht="14.1" customHeight="1">
      <c r="E302" s="283"/>
      <c r="I302" s="2"/>
      <c r="J302" s="2"/>
      <c r="K302" s="2"/>
      <c r="Q302" s="2"/>
    </row>
    <row r="303" spans="5:17" ht="14.1" customHeight="1">
      <c r="E303" s="283"/>
      <c r="I303" s="2"/>
      <c r="J303" s="2"/>
      <c r="K303" s="2"/>
      <c r="Q303" s="2"/>
    </row>
    <row r="304" spans="5:17" ht="14.1" customHeight="1">
      <c r="E304" s="283"/>
      <c r="I304" s="2"/>
      <c r="J304" s="2"/>
      <c r="K304" s="2"/>
      <c r="Q304" s="2"/>
    </row>
    <row r="305" spans="5:17" ht="14.1" customHeight="1">
      <c r="E305" s="283"/>
      <c r="I305" s="2"/>
      <c r="J305" s="2"/>
      <c r="K305" s="2"/>
      <c r="Q305" s="2"/>
    </row>
    <row r="306" spans="5:17" ht="14.1" customHeight="1">
      <c r="E306" s="283"/>
      <c r="I306" s="2"/>
      <c r="J306" s="2"/>
      <c r="K306" s="2"/>
      <c r="Q306" s="2"/>
    </row>
    <row r="307" spans="5:17" ht="14.1" customHeight="1">
      <c r="E307" s="283"/>
      <c r="I307" s="2"/>
      <c r="J307" s="2"/>
      <c r="K307" s="2"/>
      <c r="Q307" s="2"/>
    </row>
    <row r="308" spans="5:17" ht="14.1" customHeight="1">
      <c r="E308" s="283"/>
      <c r="I308" s="2"/>
      <c r="J308" s="2"/>
      <c r="K308" s="2"/>
      <c r="Q308" s="2"/>
    </row>
    <row r="309" spans="5:17" ht="14.1" customHeight="1">
      <c r="E309" s="283"/>
      <c r="I309" s="2"/>
      <c r="J309" s="2"/>
      <c r="K309" s="2"/>
      <c r="Q309" s="2"/>
    </row>
    <row r="310" spans="5:17" ht="14.1" customHeight="1">
      <c r="E310" s="283"/>
      <c r="I310" s="2"/>
      <c r="J310" s="2"/>
      <c r="K310" s="2"/>
      <c r="Q310" s="2"/>
    </row>
    <row r="311" spans="5:17" ht="14.1" customHeight="1">
      <c r="E311" s="283"/>
      <c r="I311" s="2"/>
      <c r="J311" s="2"/>
      <c r="K311" s="2"/>
      <c r="Q311" s="2"/>
    </row>
    <row r="312" spans="5:17" ht="14.1" customHeight="1">
      <c r="E312" s="283"/>
      <c r="I312" s="2"/>
      <c r="J312" s="2"/>
      <c r="K312" s="2"/>
      <c r="Q312" s="2"/>
    </row>
    <row r="313" spans="5:17" ht="14.1" customHeight="1">
      <c r="E313" s="283"/>
      <c r="I313" s="2"/>
      <c r="J313" s="2"/>
      <c r="K313" s="2"/>
      <c r="Q313" s="2"/>
    </row>
    <row r="314" spans="5:17" ht="14.1" customHeight="1">
      <c r="E314" s="283"/>
      <c r="I314" s="2"/>
      <c r="J314" s="2"/>
      <c r="K314" s="2"/>
      <c r="Q314" s="2"/>
    </row>
    <row r="315" spans="5:17" ht="14.1" customHeight="1">
      <c r="E315" s="283"/>
      <c r="I315" s="2"/>
      <c r="J315" s="2"/>
      <c r="K315" s="2"/>
      <c r="Q315" s="2"/>
    </row>
    <row r="316" spans="5:17" ht="14.1" customHeight="1">
      <c r="E316" s="283"/>
      <c r="I316" s="2"/>
      <c r="J316" s="2"/>
      <c r="K316" s="2"/>
      <c r="Q316" s="2"/>
    </row>
    <row r="317" spans="5:17" ht="14.1" customHeight="1">
      <c r="E317" s="283"/>
      <c r="I317" s="2"/>
      <c r="J317" s="2"/>
      <c r="K317" s="2"/>
      <c r="Q317" s="2"/>
    </row>
    <row r="318" spans="5:17" ht="14.1" customHeight="1">
      <c r="E318" s="283"/>
      <c r="I318" s="2"/>
      <c r="J318" s="2"/>
      <c r="K318" s="2"/>
      <c r="Q318" s="2"/>
    </row>
    <row r="319" spans="5:17" ht="14.1" customHeight="1">
      <c r="E319" s="283"/>
      <c r="I319" s="2"/>
      <c r="J319" s="2"/>
      <c r="K319" s="2"/>
      <c r="Q319" s="2"/>
    </row>
    <row r="320" spans="5:17" ht="14.1" customHeight="1">
      <c r="E320" s="283"/>
      <c r="I320" s="2"/>
      <c r="J320" s="2"/>
      <c r="K320" s="2"/>
      <c r="Q320" s="2"/>
    </row>
    <row r="321" spans="5:17" ht="14.1" customHeight="1">
      <c r="E321" s="283"/>
      <c r="I321" s="2"/>
      <c r="J321" s="2"/>
      <c r="K321" s="2"/>
      <c r="Q321" s="2"/>
    </row>
    <row r="322" spans="5:17" ht="14.1" customHeight="1">
      <c r="E322" s="283"/>
      <c r="I322" s="2"/>
      <c r="J322" s="2"/>
      <c r="K322" s="2"/>
      <c r="Q322" s="2"/>
    </row>
    <row r="323" spans="5:17" ht="14.1" customHeight="1">
      <c r="E323" s="283"/>
      <c r="I323" s="2"/>
      <c r="J323" s="2"/>
      <c r="K323" s="2"/>
      <c r="Q323" s="2"/>
    </row>
    <row r="324" spans="5:17" ht="14.1" customHeight="1">
      <c r="E324" s="283"/>
      <c r="I324" s="2"/>
      <c r="J324" s="2"/>
      <c r="K324" s="2"/>
      <c r="Q324" s="2"/>
    </row>
    <row r="325" spans="5:17" ht="14.1" customHeight="1">
      <c r="E325" s="283"/>
      <c r="I325" s="2"/>
      <c r="J325" s="2"/>
      <c r="K325" s="2"/>
      <c r="Q325" s="2"/>
    </row>
    <row r="326" spans="5:17" ht="14.1" customHeight="1">
      <c r="E326" s="283"/>
      <c r="I326" s="2"/>
      <c r="J326" s="2"/>
      <c r="K326" s="2"/>
      <c r="Q326" s="2"/>
    </row>
    <row r="327" spans="5:17" ht="14.1" customHeight="1">
      <c r="E327" s="283"/>
      <c r="I327" s="2"/>
      <c r="J327" s="2"/>
      <c r="K327" s="2"/>
      <c r="Q327" s="2"/>
    </row>
    <row r="328" spans="5:17" ht="14.1" customHeight="1">
      <c r="E328" s="283"/>
      <c r="I328" s="2"/>
      <c r="J328" s="2"/>
      <c r="K328" s="2"/>
      <c r="Q328" s="2"/>
    </row>
    <row r="329" spans="5:17" ht="14.1" customHeight="1">
      <c r="E329" s="283"/>
      <c r="I329" s="2"/>
      <c r="J329" s="2"/>
      <c r="K329" s="2"/>
      <c r="Q329" s="2"/>
    </row>
    <row r="330" spans="5:17" ht="14.1" customHeight="1">
      <c r="E330" s="283"/>
      <c r="I330" s="2"/>
      <c r="J330" s="2"/>
      <c r="K330" s="2"/>
      <c r="Q330" s="2"/>
    </row>
    <row r="331" spans="5:17" ht="14.1" customHeight="1">
      <c r="E331" s="283"/>
      <c r="I331" s="2"/>
      <c r="J331" s="2"/>
      <c r="K331" s="2"/>
      <c r="Q331" s="2"/>
    </row>
    <row r="332" spans="5:17" ht="14.1" customHeight="1">
      <c r="E332" s="283"/>
      <c r="I332" s="2"/>
      <c r="J332" s="2"/>
      <c r="K332" s="2"/>
      <c r="Q332" s="2"/>
    </row>
    <row r="333" spans="5:17" ht="14.1" customHeight="1">
      <c r="E333" s="283"/>
      <c r="I333" s="2"/>
      <c r="J333" s="2"/>
      <c r="K333" s="2"/>
      <c r="Q333" s="2"/>
    </row>
    <row r="334" spans="5:17" ht="14.1" customHeight="1">
      <c r="E334" s="283"/>
      <c r="I334" s="2"/>
      <c r="J334" s="2"/>
      <c r="K334" s="2"/>
      <c r="Q334" s="2"/>
    </row>
    <row r="335" spans="5:17" ht="14.1" customHeight="1">
      <c r="E335" s="283"/>
      <c r="I335" s="2"/>
      <c r="J335" s="2"/>
      <c r="K335" s="2"/>
      <c r="Q335" s="2"/>
    </row>
    <row r="336" spans="5:17" ht="14.1" customHeight="1">
      <c r="E336" s="283"/>
      <c r="I336" s="2"/>
      <c r="J336" s="2"/>
      <c r="K336" s="2"/>
      <c r="Q336" s="2"/>
    </row>
    <row r="337" spans="5:17" ht="14.1" customHeight="1">
      <c r="E337" s="283"/>
      <c r="I337" s="2"/>
      <c r="J337" s="2"/>
      <c r="K337" s="2"/>
      <c r="Q337" s="2"/>
    </row>
    <row r="338" spans="5:17" ht="14.1" customHeight="1">
      <c r="E338" s="283"/>
      <c r="I338" s="2"/>
      <c r="J338" s="2"/>
      <c r="K338" s="2"/>
      <c r="Q338" s="2"/>
    </row>
    <row r="339" spans="5:17" ht="14.1" customHeight="1">
      <c r="E339" s="283"/>
      <c r="I339" s="2"/>
      <c r="J339" s="2"/>
      <c r="K339" s="2"/>
      <c r="Q339" s="2"/>
    </row>
    <row r="340" spans="5:17" ht="14.1" customHeight="1">
      <c r="E340" s="283"/>
      <c r="I340" s="2"/>
      <c r="J340" s="2"/>
      <c r="K340" s="2"/>
      <c r="Q340" s="2"/>
    </row>
    <row r="341" spans="5:17" ht="14.1" customHeight="1">
      <c r="E341" s="283"/>
      <c r="I341" s="2"/>
      <c r="J341" s="2"/>
      <c r="K341" s="2"/>
      <c r="Q341" s="2"/>
    </row>
    <row r="342" spans="5:17" ht="14.1" customHeight="1">
      <c r="E342" s="283"/>
      <c r="I342" s="2"/>
      <c r="J342" s="2"/>
      <c r="K342" s="2"/>
      <c r="Q342" s="2"/>
    </row>
    <row r="343" spans="5:17" ht="14.1" customHeight="1">
      <c r="E343" s="283"/>
      <c r="I343" s="2"/>
      <c r="J343" s="2"/>
      <c r="K343" s="2"/>
      <c r="Q343" s="2"/>
    </row>
    <row r="344" spans="5:17" ht="14.1" customHeight="1">
      <c r="E344" s="283"/>
      <c r="I344" s="2"/>
      <c r="J344" s="2"/>
      <c r="K344" s="2"/>
      <c r="Q344" s="2"/>
    </row>
    <row r="345" spans="5:17" ht="14.1" customHeight="1">
      <c r="E345" s="283"/>
      <c r="I345" s="2"/>
      <c r="J345" s="2"/>
      <c r="K345" s="2"/>
      <c r="Q345" s="2"/>
    </row>
    <row r="346" spans="5:17" ht="14.1" customHeight="1">
      <c r="E346" s="283"/>
      <c r="I346" s="2"/>
      <c r="J346" s="2"/>
      <c r="K346" s="2"/>
      <c r="Q346" s="2"/>
    </row>
    <row r="347" spans="5:17" ht="14.1" customHeight="1">
      <c r="E347" s="283"/>
      <c r="I347" s="2"/>
      <c r="J347" s="2"/>
      <c r="K347" s="2"/>
      <c r="Q347" s="2"/>
    </row>
    <row r="348" spans="5:17" ht="14.1" customHeight="1">
      <c r="E348" s="283"/>
      <c r="I348" s="2"/>
      <c r="J348" s="2"/>
      <c r="K348" s="2"/>
      <c r="Q348" s="2"/>
    </row>
    <row r="349" spans="5:17" ht="14.1" customHeight="1">
      <c r="E349" s="283"/>
      <c r="I349" s="2"/>
      <c r="J349" s="2"/>
      <c r="K349" s="2"/>
      <c r="Q349" s="2"/>
    </row>
    <row r="350" spans="5:17" ht="14.1" customHeight="1">
      <c r="E350" s="283"/>
      <c r="I350" s="2"/>
      <c r="J350" s="2"/>
      <c r="K350" s="2"/>
      <c r="Q350" s="2"/>
    </row>
    <row r="351" spans="5:17" ht="14.1" customHeight="1">
      <c r="E351" s="283"/>
      <c r="I351" s="2"/>
      <c r="J351" s="2"/>
      <c r="K351" s="2"/>
      <c r="Q351" s="2"/>
    </row>
    <row r="352" spans="5:17" ht="14.1" customHeight="1">
      <c r="E352" s="283"/>
      <c r="I352" s="2"/>
      <c r="J352" s="2"/>
      <c r="K352" s="2"/>
      <c r="Q352" s="2"/>
    </row>
    <row r="353" spans="5:17" ht="14.1" customHeight="1">
      <c r="E353" s="283"/>
      <c r="I353" s="2"/>
      <c r="J353" s="2"/>
      <c r="K353" s="2"/>
      <c r="Q353" s="2"/>
    </row>
    <row r="354" spans="5:17" ht="14.1" customHeight="1">
      <c r="E354" s="283"/>
      <c r="I354" s="2"/>
      <c r="J354" s="2"/>
      <c r="K354" s="2"/>
      <c r="Q354" s="2"/>
    </row>
    <row r="355" spans="5:17" ht="14.1" customHeight="1">
      <c r="E355" s="283"/>
      <c r="I355" s="2"/>
      <c r="J355" s="2"/>
      <c r="K355" s="2"/>
      <c r="Q355" s="2"/>
    </row>
    <row r="356" spans="5:17" ht="14.1" customHeight="1">
      <c r="E356" s="283"/>
      <c r="I356" s="2"/>
      <c r="J356" s="2"/>
      <c r="K356" s="2"/>
      <c r="Q356" s="2"/>
    </row>
    <row r="357" spans="5:17" ht="14.1" customHeight="1">
      <c r="E357" s="283"/>
      <c r="I357" s="2"/>
      <c r="J357" s="2"/>
      <c r="K357" s="2"/>
      <c r="Q357" s="2"/>
    </row>
    <row r="358" spans="5:17" ht="14.1" customHeight="1">
      <c r="E358" s="283"/>
      <c r="I358" s="2"/>
      <c r="J358" s="2"/>
      <c r="K358" s="2"/>
      <c r="Q358" s="2"/>
    </row>
    <row r="359" spans="5:17" ht="14.1" customHeight="1">
      <c r="E359" s="283"/>
      <c r="I359" s="2"/>
      <c r="J359" s="2"/>
      <c r="K359" s="2"/>
      <c r="Q359" s="2"/>
    </row>
    <row r="360" spans="5:17" ht="14.1" customHeight="1">
      <c r="E360" s="283"/>
      <c r="I360" s="2"/>
      <c r="J360" s="2"/>
      <c r="K360" s="2"/>
      <c r="Q360" s="2"/>
    </row>
    <row r="361" spans="5:17" ht="14.1" customHeight="1">
      <c r="E361" s="283"/>
      <c r="I361" s="2"/>
      <c r="J361" s="2"/>
      <c r="K361" s="2"/>
      <c r="Q361" s="2"/>
    </row>
    <row r="362" spans="5:17" ht="14.1" customHeight="1">
      <c r="E362" s="283"/>
      <c r="I362" s="2"/>
      <c r="J362" s="2"/>
      <c r="K362" s="2"/>
      <c r="Q362" s="2"/>
    </row>
    <row r="363" spans="5:17" ht="14.1" customHeight="1">
      <c r="E363" s="283"/>
      <c r="I363" s="2"/>
      <c r="J363" s="2"/>
      <c r="K363" s="2"/>
      <c r="Q363" s="2"/>
    </row>
    <row r="364" spans="5:17" ht="14.1" customHeight="1">
      <c r="E364" s="283"/>
      <c r="I364" s="2"/>
      <c r="J364" s="2"/>
      <c r="K364" s="2"/>
      <c r="Q364" s="2"/>
    </row>
    <row r="365" spans="5:17" ht="14.1" customHeight="1">
      <c r="E365" s="283"/>
      <c r="I365" s="2"/>
      <c r="J365" s="2"/>
      <c r="K365" s="2"/>
      <c r="Q365" s="2"/>
    </row>
    <row r="366" spans="5:17" ht="14.1" customHeight="1">
      <c r="E366" s="283"/>
      <c r="I366" s="2"/>
      <c r="J366" s="2"/>
      <c r="K366" s="2"/>
      <c r="Q366" s="2"/>
    </row>
    <row r="367" spans="5:17" ht="14.1" customHeight="1">
      <c r="E367" s="283"/>
      <c r="I367" s="2"/>
      <c r="J367" s="2"/>
      <c r="K367" s="2"/>
      <c r="Q367" s="2"/>
    </row>
    <row r="368" spans="5:17" ht="14.1" customHeight="1">
      <c r="E368" s="283"/>
      <c r="I368" s="2"/>
      <c r="J368" s="2"/>
      <c r="K368" s="2"/>
      <c r="Q368" s="2"/>
    </row>
    <row r="369" spans="5:17" ht="14.1" customHeight="1">
      <c r="E369" s="283"/>
      <c r="I369" s="2"/>
      <c r="J369" s="2"/>
      <c r="K369" s="2"/>
      <c r="Q369" s="2"/>
    </row>
    <row r="370" spans="5:17" ht="14.1" customHeight="1">
      <c r="E370" s="283"/>
      <c r="I370" s="2"/>
      <c r="J370" s="2"/>
      <c r="K370" s="2"/>
      <c r="Q370" s="2"/>
    </row>
    <row r="371" spans="5:17" ht="14.1" customHeight="1">
      <c r="E371" s="283"/>
      <c r="I371" s="2"/>
      <c r="J371" s="2"/>
      <c r="K371" s="2"/>
      <c r="Q371" s="2"/>
    </row>
    <row r="372" spans="5:17" ht="14.1" customHeight="1">
      <c r="E372" s="283"/>
      <c r="I372" s="2"/>
      <c r="J372" s="2"/>
      <c r="K372" s="2"/>
      <c r="Q372" s="2"/>
    </row>
    <row r="373" spans="5:17" ht="14.1" customHeight="1">
      <c r="E373" s="283"/>
      <c r="I373" s="2"/>
      <c r="J373" s="2"/>
      <c r="K373" s="2"/>
      <c r="Q373" s="2"/>
    </row>
    <row r="374" spans="5:17" ht="14.1" customHeight="1">
      <c r="E374" s="283"/>
      <c r="I374" s="2"/>
      <c r="J374" s="2"/>
      <c r="K374" s="2"/>
      <c r="Q374" s="2"/>
    </row>
    <row r="375" spans="5:17" ht="14.1" customHeight="1">
      <c r="E375" s="283"/>
      <c r="I375" s="2"/>
      <c r="J375" s="2"/>
      <c r="K375" s="2"/>
      <c r="Q375" s="2"/>
    </row>
    <row r="376" spans="5:17" ht="14.1" customHeight="1">
      <c r="E376" s="283"/>
      <c r="I376" s="2"/>
      <c r="J376" s="2"/>
      <c r="K376" s="2"/>
      <c r="Q376" s="2"/>
    </row>
    <row r="377" spans="5:17" ht="14.1" customHeight="1">
      <c r="E377" s="283"/>
      <c r="I377" s="2"/>
      <c r="J377" s="2"/>
      <c r="K377" s="2"/>
      <c r="Q377" s="2"/>
    </row>
    <row r="378" spans="5:17" ht="14.1" customHeight="1">
      <c r="E378" s="283"/>
      <c r="I378" s="2"/>
      <c r="J378" s="2"/>
      <c r="K378" s="2"/>
      <c r="Q378" s="2"/>
    </row>
    <row r="379" spans="5:17" ht="14.1" customHeight="1">
      <c r="E379" s="283"/>
      <c r="I379" s="2"/>
      <c r="J379" s="2"/>
      <c r="K379" s="2"/>
      <c r="Q379" s="2"/>
    </row>
    <row r="380" spans="5:17" ht="14.1" customHeight="1">
      <c r="E380" s="283"/>
      <c r="I380" s="2"/>
      <c r="J380" s="2"/>
      <c r="K380" s="2"/>
      <c r="Q380" s="2"/>
    </row>
    <row r="381" spans="5:17" ht="14.1" customHeight="1">
      <c r="E381" s="283"/>
      <c r="I381" s="2"/>
      <c r="J381" s="2"/>
      <c r="K381" s="2"/>
      <c r="Q381" s="2"/>
    </row>
    <row r="382" spans="5:17" ht="14.1" customHeight="1">
      <c r="E382" s="283"/>
      <c r="I382" s="2"/>
      <c r="J382" s="2"/>
      <c r="K382" s="2"/>
      <c r="Q382" s="2"/>
    </row>
    <row r="383" spans="5:17" ht="14.1" customHeight="1">
      <c r="E383" s="283"/>
      <c r="I383" s="2"/>
      <c r="J383" s="2"/>
      <c r="K383" s="2"/>
      <c r="Q383" s="2"/>
    </row>
    <row r="384" spans="5:17" ht="14.1" customHeight="1">
      <c r="E384" s="283"/>
      <c r="I384" s="2"/>
      <c r="J384" s="2"/>
      <c r="K384" s="2"/>
      <c r="Q384" s="2"/>
    </row>
    <row r="385" spans="5:17" ht="14.1" customHeight="1">
      <c r="E385" s="283"/>
      <c r="I385" s="2"/>
      <c r="J385" s="2"/>
      <c r="K385" s="2"/>
      <c r="Q385" s="2"/>
    </row>
    <row r="386" spans="5:17" ht="14.1" customHeight="1">
      <c r="E386" s="283"/>
      <c r="I386" s="2"/>
      <c r="J386" s="2"/>
      <c r="K386" s="2"/>
      <c r="Q386" s="2"/>
    </row>
    <row r="387" spans="5:17" ht="14.1" customHeight="1">
      <c r="E387" s="283"/>
      <c r="I387" s="2"/>
      <c r="J387" s="2"/>
      <c r="K387" s="2"/>
      <c r="Q387" s="2"/>
    </row>
    <row r="388" spans="5:17" ht="14.1" customHeight="1">
      <c r="E388" s="283"/>
      <c r="I388" s="2"/>
      <c r="J388" s="2"/>
      <c r="K388" s="2"/>
      <c r="Q388" s="2"/>
    </row>
    <row r="389" spans="5:17" ht="14.1" customHeight="1">
      <c r="E389" s="283"/>
      <c r="I389" s="2"/>
      <c r="J389" s="2"/>
      <c r="K389" s="2"/>
      <c r="Q389" s="2"/>
    </row>
    <row r="390" spans="5:17" ht="14.1" customHeight="1">
      <c r="E390" s="283"/>
      <c r="I390" s="2"/>
      <c r="J390" s="2"/>
      <c r="K390" s="2"/>
      <c r="Q390" s="2"/>
    </row>
    <row r="391" spans="5:17" ht="14.1" customHeight="1">
      <c r="E391" s="283"/>
      <c r="I391" s="2"/>
      <c r="J391" s="2"/>
      <c r="K391" s="2"/>
      <c r="Q391" s="2"/>
    </row>
    <row r="392" spans="5:17" ht="14.1" customHeight="1">
      <c r="E392" s="283"/>
      <c r="I392" s="2"/>
      <c r="J392" s="2"/>
      <c r="K392" s="2"/>
      <c r="Q392" s="2"/>
    </row>
    <row r="393" spans="5:17" ht="14.1" customHeight="1">
      <c r="E393" s="283"/>
      <c r="I393" s="2"/>
      <c r="J393" s="2"/>
      <c r="K393" s="2"/>
      <c r="Q393" s="2"/>
    </row>
    <row r="394" spans="5:17" ht="14.1" customHeight="1">
      <c r="E394" s="283"/>
      <c r="I394" s="2"/>
      <c r="J394" s="2"/>
      <c r="K394" s="2"/>
      <c r="Q394" s="2"/>
    </row>
    <row r="395" spans="5:17" ht="14.1" customHeight="1">
      <c r="E395" s="283"/>
      <c r="I395" s="2"/>
      <c r="J395" s="2"/>
      <c r="K395" s="2"/>
      <c r="Q395" s="2"/>
    </row>
    <row r="396" spans="5:17" ht="14.1" customHeight="1">
      <c r="E396" s="283"/>
      <c r="I396" s="2"/>
      <c r="J396" s="2"/>
      <c r="K396" s="2"/>
      <c r="Q396" s="2"/>
    </row>
    <row r="397" spans="5:17" ht="14.1" customHeight="1">
      <c r="E397" s="283"/>
      <c r="I397" s="2"/>
      <c r="J397" s="2"/>
      <c r="K397" s="2"/>
      <c r="Q397" s="2"/>
    </row>
    <row r="398" spans="5:17" ht="14.1" customHeight="1">
      <c r="E398" s="283"/>
      <c r="I398" s="2"/>
      <c r="J398" s="2"/>
      <c r="K398" s="2"/>
      <c r="Q398" s="2"/>
    </row>
    <row r="399" spans="5:17" ht="14.1" customHeight="1">
      <c r="E399" s="283"/>
      <c r="I399" s="2"/>
      <c r="J399" s="2"/>
      <c r="K399" s="2"/>
      <c r="Q399" s="2"/>
    </row>
    <row r="400" spans="5:17" ht="14.1" customHeight="1">
      <c r="E400" s="283"/>
      <c r="I400" s="2"/>
      <c r="J400" s="2"/>
      <c r="K400" s="2"/>
      <c r="Q400" s="2"/>
    </row>
    <row r="401" spans="5:17" ht="14.1" customHeight="1">
      <c r="E401" s="283"/>
      <c r="I401" s="2"/>
      <c r="J401" s="2"/>
      <c r="K401" s="2"/>
      <c r="Q401" s="2"/>
    </row>
    <row r="402" spans="5:17" ht="14.1" customHeight="1">
      <c r="E402" s="283"/>
      <c r="I402" s="2"/>
      <c r="J402" s="2"/>
      <c r="K402" s="2"/>
      <c r="Q402" s="2"/>
    </row>
    <row r="403" spans="5:17" ht="14.1" customHeight="1">
      <c r="E403" s="283"/>
      <c r="I403" s="2"/>
      <c r="J403" s="2"/>
      <c r="K403" s="2"/>
      <c r="Q403" s="2"/>
    </row>
    <row r="404" spans="5:17" ht="14.1" customHeight="1">
      <c r="E404" s="283"/>
      <c r="I404" s="2"/>
      <c r="J404" s="2"/>
      <c r="K404" s="2"/>
      <c r="Q404" s="2"/>
    </row>
    <row r="405" spans="5:17" ht="14.1" customHeight="1">
      <c r="E405" s="283"/>
      <c r="I405" s="2"/>
      <c r="J405" s="2"/>
      <c r="K405" s="2"/>
      <c r="Q405" s="2"/>
    </row>
    <row r="406" spans="5:17" ht="14.1" customHeight="1">
      <c r="E406" s="283"/>
      <c r="I406" s="2"/>
      <c r="J406" s="2"/>
      <c r="K406" s="2"/>
      <c r="Q406" s="2"/>
    </row>
    <row r="407" spans="5:17" ht="14.1" customHeight="1">
      <c r="E407" s="283"/>
      <c r="I407" s="2"/>
      <c r="J407" s="2"/>
      <c r="K407" s="2"/>
      <c r="Q407" s="2"/>
    </row>
    <row r="408" spans="5:17" ht="14.1" customHeight="1">
      <c r="E408" s="283"/>
      <c r="I408" s="2"/>
      <c r="J408" s="2"/>
      <c r="K408" s="2"/>
      <c r="Q408" s="2"/>
    </row>
    <row r="409" spans="5:17" ht="14.1" customHeight="1">
      <c r="E409" s="283"/>
      <c r="I409" s="2"/>
      <c r="J409" s="2"/>
      <c r="K409" s="2"/>
      <c r="Q409" s="2"/>
    </row>
    <row r="410" spans="5:17" ht="14.1" customHeight="1">
      <c r="E410" s="283"/>
      <c r="I410" s="2"/>
      <c r="J410" s="2"/>
      <c r="K410" s="2"/>
      <c r="Q410" s="2"/>
    </row>
    <row r="411" spans="5:17" ht="14.1" customHeight="1">
      <c r="E411" s="283"/>
      <c r="I411" s="2"/>
      <c r="J411" s="2"/>
      <c r="K411" s="2"/>
      <c r="Q411" s="2"/>
    </row>
    <row r="412" spans="5:17" ht="14.1" customHeight="1">
      <c r="E412" s="283"/>
      <c r="I412" s="2"/>
      <c r="J412" s="2"/>
      <c r="K412" s="2"/>
      <c r="Q412" s="2"/>
    </row>
    <row r="413" spans="5:17" ht="14.1" customHeight="1">
      <c r="E413" s="283"/>
      <c r="I413" s="2"/>
      <c r="J413" s="2"/>
      <c r="K413" s="2"/>
      <c r="Q413" s="2"/>
    </row>
    <row r="414" spans="5:17" ht="14.1" customHeight="1">
      <c r="E414" s="283"/>
      <c r="I414" s="2"/>
      <c r="J414" s="2"/>
      <c r="K414" s="2"/>
      <c r="Q414" s="2"/>
    </row>
    <row r="415" spans="5:17" ht="14.1" customHeight="1">
      <c r="E415" s="283"/>
      <c r="I415" s="2"/>
      <c r="J415" s="2"/>
      <c r="K415" s="2"/>
      <c r="Q415" s="2"/>
    </row>
    <row r="416" spans="5:17" ht="14.1" customHeight="1">
      <c r="E416" s="283"/>
      <c r="I416" s="2"/>
      <c r="J416" s="2"/>
      <c r="K416" s="2"/>
      <c r="Q416" s="2"/>
    </row>
    <row r="417" spans="5:17" ht="14.1" customHeight="1">
      <c r="E417" s="283"/>
      <c r="I417" s="2"/>
      <c r="J417" s="2"/>
      <c r="K417" s="2"/>
      <c r="Q417" s="2"/>
    </row>
    <row r="418" spans="5:17" ht="14.1" customHeight="1">
      <c r="E418" s="283"/>
      <c r="I418" s="2"/>
      <c r="J418" s="2"/>
      <c r="K418" s="2"/>
      <c r="Q418" s="2"/>
    </row>
    <row r="419" spans="5:17" ht="14.1" customHeight="1">
      <c r="E419" s="283"/>
      <c r="I419" s="2"/>
      <c r="J419" s="2"/>
      <c r="K419" s="2"/>
      <c r="Q419" s="2"/>
    </row>
    <row r="420" spans="5:17" ht="14.1" customHeight="1">
      <c r="E420" s="283"/>
      <c r="I420" s="2"/>
      <c r="J420" s="2"/>
      <c r="K420" s="2"/>
      <c r="Q420" s="2"/>
    </row>
    <row r="421" spans="5:17" ht="14.1" customHeight="1">
      <c r="E421" s="283"/>
      <c r="I421" s="2"/>
      <c r="J421" s="2"/>
      <c r="K421" s="2"/>
      <c r="Q421" s="2"/>
    </row>
    <row r="422" spans="5:17" ht="14.1" customHeight="1">
      <c r="E422" s="283"/>
      <c r="I422" s="2"/>
      <c r="J422" s="2"/>
      <c r="K422" s="2"/>
      <c r="Q422" s="2"/>
    </row>
    <row r="423" spans="5:17" ht="14.1" customHeight="1">
      <c r="E423" s="283"/>
      <c r="I423" s="2"/>
      <c r="J423" s="2"/>
      <c r="K423" s="2"/>
      <c r="Q423" s="2"/>
    </row>
    <row r="424" spans="5:17" ht="14.1" customHeight="1">
      <c r="E424" s="283"/>
      <c r="I424" s="2"/>
      <c r="J424" s="2"/>
      <c r="K424" s="2"/>
      <c r="Q424" s="2"/>
    </row>
    <row r="425" spans="5:17" ht="14.1" customHeight="1">
      <c r="E425" s="283"/>
      <c r="I425" s="2"/>
      <c r="J425" s="2"/>
      <c r="K425" s="2"/>
      <c r="Q425" s="2"/>
    </row>
    <row r="426" spans="5:17" ht="14.1" customHeight="1">
      <c r="E426" s="283"/>
      <c r="I426" s="2"/>
      <c r="J426" s="2"/>
      <c r="K426" s="2"/>
      <c r="Q426" s="2"/>
    </row>
    <row r="427" spans="5:17" ht="14.1" customHeight="1">
      <c r="E427" s="283"/>
      <c r="I427" s="2"/>
      <c r="J427" s="2"/>
      <c r="K427" s="2"/>
      <c r="Q427" s="2"/>
    </row>
    <row r="428" spans="5:17" ht="14.1" customHeight="1">
      <c r="E428" s="283"/>
      <c r="I428" s="2"/>
      <c r="J428" s="2"/>
      <c r="K428" s="2"/>
      <c r="Q428" s="2"/>
    </row>
    <row r="429" spans="5:17" ht="14.1" customHeight="1">
      <c r="E429" s="283"/>
      <c r="I429" s="2"/>
      <c r="J429" s="2"/>
      <c r="K429" s="2"/>
      <c r="Q429" s="2"/>
    </row>
    <row r="430" spans="5:17" ht="14.1" customHeight="1">
      <c r="E430" s="283"/>
      <c r="I430" s="2"/>
      <c r="J430" s="2"/>
      <c r="K430" s="2"/>
      <c r="Q430" s="2"/>
    </row>
    <row r="431" spans="5:17" ht="14.1" customHeight="1">
      <c r="E431" s="283"/>
      <c r="I431" s="2"/>
      <c r="J431" s="2"/>
      <c r="K431" s="2"/>
      <c r="Q431" s="2"/>
    </row>
    <row r="432" spans="5:17" ht="14.1" customHeight="1">
      <c r="E432" s="283"/>
      <c r="I432" s="2"/>
      <c r="J432" s="2"/>
      <c r="K432" s="2"/>
      <c r="Q432" s="2"/>
    </row>
    <row r="433" spans="5:17" ht="14.1" customHeight="1">
      <c r="E433" s="283"/>
      <c r="I433" s="2"/>
      <c r="J433" s="2"/>
      <c r="K433" s="2"/>
      <c r="Q433" s="2"/>
    </row>
    <row r="434" spans="5:17" ht="14.1" customHeight="1">
      <c r="E434" s="283"/>
      <c r="I434" s="2"/>
      <c r="J434" s="2"/>
      <c r="K434" s="2"/>
      <c r="Q434" s="2"/>
    </row>
    <row r="435" spans="5:17" ht="14.1" customHeight="1">
      <c r="E435" s="283"/>
      <c r="I435" s="2"/>
      <c r="J435" s="2"/>
      <c r="K435" s="2"/>
      <c r="Q435" s="2"/>
    </row>
    <row r="436" spans="5:17" ht="14.1" customHeight="1">
      <c r="E436" s="283"/>
      <c r="I436" s="2"/>
      <c r="J436" s="2"/>
      <c r="K436" s="2"/>
      <c r="Q436" s="2"/>
    </row>
    <row r="437" spans="5:17" ht="14.1" customHeight="1">
      <c r="E437" s="283"/>
      <c r="I437" s="2"/>
      <c r="J437" s="2"/>
      <c r="K437" s="2"/>
      <c r="Q437" s="2"/>
    </row>
    <row r="438" spans="5:17" ht="14.1" customHeight="1">
      <c r="E438" s="283"/>
      <c r="I438" s="2"/>
      <c r="J438" s="2"/>
      <c r="K438" s="2"/>
      <c r="Q438" s="2"/>
    </row>
    <row r="439" spans="5:17" ht="14.1" customHeight="1">
      <c r="E439" s="283"/>
      <c r="I439" s="2"/>
      <c r="J439" s="2"/>
      <c r="K439" s="2"/>
      <c r="Q439" s="2"/>
    </row>
    <row r="440" spans="5:17" ht="14.1" customHeight="1">
      <c r="E440" s="283"/>
      <c r="I440" s="2"/>
      <c r="J440" s="2"/>
      <c r="K440" s="2"/>
      <c r="Q440" s="2"/>
    </row>
    <row r="441" spans="5:17" ht="14.1" customHeight="1">
      <c r="E441" s="283"/>
      <c r="I441" s="2"/>
      <c r="J441" s="2"/>
      <c r="K441" s="2"/>
      <c r="Q441" s="2"/>
    </row>
    <row r="442" spans="5:17" ht="14.1" customHeight="1">
      <c r="E442" s="283"/>
      <c r="I442" s="2"/>
      <c r="J442" s="2"/>
      <c r="K442" s="2"/>
      <c r="Q442" s="2"/>
    </row>
    <row r="443" spans="5:17" ht="14.1" customHeight="1">
      <c r="E443" s="283"/>
      <c r="I443" s="2"/>
      <c r="J443" s="2"/>
      <c r="K443" s="2"/>
      <c r="Q443" s="2"/>
    </row>
    <row r="444" spans="5:17" ht="14.1" customHeight="1">
      <c r="E444" s="283"/>
      <c r="I444" s="2"/>
      <c r="J444" s="2"/>
      <c r="K444" s="2"/>
      <c r="Q444" s="2"/>
    </row>
    <row r="445" spans="5:17" ht="14.1" customHeight="1">
      <c r="E445" s="283"/>
      <c r="I445" s="2"/>
      <c r="J445" s="2"/>
      <c r="K445" s="2"/>
      <c r="Q445" s="2"/>
    </row>
    <row r="446" spans="5:17" ht="14.1" customHeight="1">
      <c r="E446" s="283"/>
      <c r="I446" s="2"/>
      <c r="J446" s="2"/>
      <c r="K446" s="2"/>
      <c r="Q446" s="2"/>
    </row>
    <row r="447" spans="5:17" ht="14.1" customHeight="1">
      <c r="E447" s="283"/>
      <c r="I447" s="2"/>
      <c r="J447" s="2"/>
      <c r="K447" s="2"/>
      <c r="Q447" s="2"/>
    </row>
    <row r="448" spans="5:17" ht="14.1" customHeight="1">
      <c r="E448" s="283"/>
      <c r="I448" s="2"/>
      <c r="J448" s="2"/>
      <c r="K448" s="2"/>
      <c r="Q448" s="2"/>
    </row>
    <row r="449" spans="5:17" ht="14.1" customHeight="1">
      <c r="E449" s="283"/>
      <c r="I449" s="2"/>
      <c r="J449" s="2"/>
      <c r="K449" s="2"/>
      <c r="Q449" s="2"/>
    </row>
    <row r="450" spans="5:17" ht="14.1" customHeight="1">
      <c r="E450" s="283"/>
      <c r="I450" s="2"/>
      <c r="J450" s="2"/>
      <c r="K450" s="2"/>
      <c r="Q450" s="2"/>
    </row>
    <row r="451" spans="5:17" ht="14.1" customHeight="1">
      <c r="E451" s="283"/>
      <c r="I451" s="2"/>
      <c r="J451" s="2"/>
      <c r="K451" s="2"/>
      <c r="Q451" s="2"/>
    </row>
    <row r="452" spans="5:17" ht="14.1" customHeight="1">
      <c r="E452" s="283"/>
      <c r="I452" s="2"/>
      <c r="J452" s="2"/>
      <c r="K452" s="2"/>
      <c r="Q452" s="2"/>
    </row>
    <row r="453" spans="5:17" ht="14.1" customHeight="1">
      <c r="E453" s="283"/>
      <c r="I453" s="2"/>
      <c r="J453" s="2"/>
      <c r="K453" s="2"/>
      <c r="Q453" s="2"/>
    </row>
    <row r="454" spans="5:17" ht="14.1" customHeight="1">
      <c r="E454" s="283"/>
      <c r="I454" s="2"/>
      <c r="J454" s="2"/>
      <c r="K454" s="2"/>
      <c r="Q454" s="2"/>
    </row>
    <row r="455" spans="5:17" ht="14.1" customHeight="1">
      <c r="E455" s="283"/>
      <c r="I455" s="2"/>
      <c r="J455" s="2"/>
      <c r="K455" s="2"/>
      <c r="Q455" s="2"/>
    </row>
    <row r="456" spans="5:17" ht="14.1" customHeight="1">
      <c r="E456" s="283"/>
      <c r="I456" s="2"/>
      <c r="J456" s="2"/>
      <c r="K456" s="2"/>
      <c r="Q456" s="2"/>
    </row>
    <row r="457" spans="5:17" ht="14.1" customHeight="1">
      <c r="E457" s="283"/>
      <c r="I457" s="2"/>
      <c r="J457" s="2"/>
      <c r="K457" s="2"/>
      <c r="Q457" s="2"/>
    </row>
    <row r="458" spans="5:17" ht="14.1" customHeight="1">
      <c r="E458" s="283"/>
      <c r="I458" s="2"/>
      <c r="J458" s="2"/>
      <c r="K458" s="2"/>
      <c r="Q458" s="2"/>
    </row>
    <row r="459" spans="5:17" ht="14.1" customHeight="1">
      <c r="E459" s="283"/>
      <c r="I459" s="2"/>
      <c r="J459" s="2"/>
      <c r="K459" s="2"/>
      <c r="Q459" s="2"/>
    </row>
    <row r="460" spans="5:17" ht="14.1" customHeight="1">
      <c r="E460" s="283"/>
      <c r="I460" s="2"/>
      <c r="J460" s="2"/>
      <c r="K460" s="2"/>
      <c r="Q460" s="2"/>
    </row>
    <row r="461" spans="5:17" ht="14.1" customHeight="1">
      <c r="E461" s="283"/>
      <c r="I461" s="2"/>
      <c r="J461" s="2"/>
      <c r="K461" s="2"/>
      <c r="Q461" s="2"/>
    </row>
    <row r="462" spans="5:17" ht="14.1" customHeight="1">
      <c r="E462" s="283"/>
      <c r="I462" s="2"/>
      <c r="J462" s="2"/>
      <c r="K462" s="2"/>
      <c r="Q462" s="2"/>
    </row>
    <row r="463" spans="5:17" ht="14.1" customHeight="1">
      <c r="E463" s="283"/>
      <c r="I463" s="2"/>
      <c r="J463" s="2"/>
      <c r="K463" s="2"/>
      <c r="Q463" s="2"/>
    </row>
    <row r="464" spans="5:17" ht="14.1" customHeight="1">
      <c r="E464" s="283"/>
      <c r="I464" s="2"/>
      <c r="J464" s="2"/>
      <c r="K464" s="2"/>
      <c r="Q464" s="2"/>
    </row>
    <row r="465" spans="5:17" ht="14.1" customHeight="1">
      <c r="E465" s="283"/>
      <c r="I465" s="2"/>
      <c r="J465" s="2"/>
      <c r="K465" s="2"/>
      <c r="Q465" s="2"/>
    </row>
    <row r="466" spans="5:17" ht="14.1" customHeight="1">
      <c r="E466" s="283"/>
      <c r="I466" s="2"/>
      <c r="J466" s="2"/>
      <c r="K466" s="2"/>
      <c r="Q466" s="2"/>
    </row>
    <row r="467" spans="5:17" ht="14.1" customHeight="1">
      <c r="E467" s="283"/>
      <c r="I467" s="2"/>
      <c r="J467" s="2"/>
      <c r="K467" s="2"/>
      <c r="Q467" s="2"/>
    </row>
    <row r="468" spans="5:17" ht="14.1" customHeight="1">
      <c r="E468" s="283"/>
      <c r="I468" s="2"/>
      <c r="J468" s="2"/>
      <c r="K468" s="2"/>
      <c r="Q468" s="2"/>
    </row>
    <row r="469" spans="5:17" ht="14.1" customHeight="1">
      <c r="E469" s="283"/>
      <c r="I469" s="2"/>
      <c r="J469" s="2"/>
      <c r="K469" s="2"/>
      <c r="Q469" s="2"/>
    </row>
    <row r="470" spans="5:17" ht="14.1" customHeight="1">
      <c r="E470" s="283"/>
      <c r="I470" s="2"/>
      <c r="J470" s="2"/>
      <c r="K470" s="2"/>
      <c r="Q470" s="2"/>
    </row>
    <row r="471" spans="5:17" ht="14.1" customHeight="1">
      <c r="E471" s="283"/>
      <c r="I471" s="2"/>
      <c r="J471" s="2"/>
      <c r="K471" s="2"/>
      <c r="Q471" s="2"/>
    </row>
    <row r="472" spans="5:17" ht="14.1" customHeight="1">
      <c r="E472" s="283"/>
      <c r="I472" s="2"/>
      <c r="J472" s="2"/>
      <c r="K472" s="2"/>
      <c r="Q472" s="2"/>
    </row>
    <row r="473" spans="5:17" ht="14.1" customHeight="1">
      <c r="E473" s="283"/>
      <c r="I473" s="2"/>
      <c r="J473" s="2"/>
      <c r="K473" s="2"/>
      <c r="Q473" s="2"/>
    </row>
    <row r="474" spans="5:17" ht="14.1" customHeight="1">
      <c r="E474" s="283"/>
      <c r="I474" s="2"/>
      <c r="J474" s="2"/>
      <c r="K474" s="2"/>
      <c r="Q474" s="2"/>
    </row>
    <row r="475" spans="5:17" ht="14.1" customHeight="1">
      <c r="E475" s="283"/>
      <c r="I475" s="2"/>
      <c r="J475" s="2"/>
      <c r="K475" s="2"/>
      <c r="Q475" s="2"/>
    </row>
    <row r="476" spans="5:17" ht="14.1" customHeight="1">
      <c r="E476" s="283"/>
      <c r="I476" s="2"/>
      <c r="J476" s="2"/>
      <c r="K476" s="2"/>
      <c r="Q476" s="2"/>
    </row>
    <row r="477" spans="5:17" ht="14.1" customHeight="1">
      <c r="E477" s="283"/>
      <c r="I477" s="2"/>
      <c r="J477" s="2"/>
      <c r="K477" s="2"/>
      <c r="Q477" s="2"/>
    </row>
    <row r="478" spans="5:17" ht="14.1" customHeight="1">
      <c r="E478" s="283"/>
      <c r="I478" s="2"/>
      <c r="J478" s="2"/>
      <c r="K478" s="2"/>
      <c r="Q478" s="2"/>
    </row>
    <row r="479" spans="5:17" ht="14.1" customHeight="1">
      <c r="E479" s="283"/>
      <c r="I479" s="2"/>
      <c r="J479" s="2"/>
      <c r="K479" s="2"/>
      <c r="Q479" s="2"/>
    </row>
    <row r="480" spans="5:17" ht="14.1" customHeight="1">
      <c r="E480" s="283"/>
      <c r="I480" s="2"/>
      <c r="J480" s="2"/>
      <c r="K480" s="2"/>
      <c r="Q480" s="2"/>
    </row>
    <row r="481" spans="5:17" ht="14.1" customHeight="1">
      <c r="E481" s="283"/>
      <c r="I481" s="2"/>
      <c r="J481" s="2"/>
      <c r="K481" s="2"/>
      <c r="Q481" s="2"/>
    </row>
    <row r="482" spans="5:17" ht="14.1" customHeight="1">
      <c r="E482" s="283"/>
      <c r="I482" s="2"/>
      <c r="J482" s="2"/>
      <c r="K482" s="2"/>
      <c r="Q482" s="2"/>
    </row>
    <row r="483" spans="5:17" ht="14.1" customHeight="1">
      <c r="E483" s="283"/>
      <c r="I483" s="2"/>
      <c r="J483" s="2"/>
      <c r="K483" s="2"/>
      <c r="Q483" s="2"/>
    </row>
    <row r="484" spans="5:17" ht="14.1" customHeight="1">
      <c r="E484" s="283"/>
      <c r="I484" s="2"/>
      <c r="J484" s="2"/>
      <c r="K484" s="2"/>
      <c r="Q484" s="2"/>
    </row>
    <row r="485" spans="5:17" ht="14.1" customHeight="1">
      <c r="E485" s="283"/>
      <c r="I485" s="2"/>
      <c r="J485" s="2"/>
      <c r="K485" s="2"/>
      <c r="Q485" s="2"/>
    </row>
    <row r="486" spans="5:17" ht="14.1" customHeight="1">
      <c r="E486" s="283"/>
      <c r="I486" s="2"/>
      <c r="J486" s="2"/>
      <c r="K486" s="2"/>
      <c r="Q486" s="2"/>
    </row>
    <row r="487" spans="5:17" ht="14.1" customHeight="1">
      <c r="E487" s="283"/>
      <c r="I487" s="2"/>
      <c r="J487" s="2"/>
      <c r="K487" s="2"/>
      <c r="Q487" s="2"/>
    </row>
    <row r="488" spans="5:17" ht="14.1" customHeight="1">
      <c r="E488" s="283"/>
      <c r="I488" s="2"/>
      <c r="J488" s="2"/>
      <c r="K488" s="2"/>
      <c r="Q488" s="2"/>
    </row>
    <row r="489" spans="5:17" ht="14.1" customHeight="1">
      <c r="E489" s="283"/>
      <c r="I489" s="2"/>
      <c r="J489" s="2"/>
      <c r="K489" s="2"/>
      <c r="Q489" s="2"/>
    </row>
    <row r="490" spans="5:17" ht="14.1" customHeight="1">
      <c r="E490" s="283"/>
      <c r="I490" s="2"/>
      <c r="J490" s="2"/>
      <c r="K490" s="2"/>
      <c r="Q490" s="2"/>
    </row>
    <row r="491" spans="5:17" ht="14.1" customHeight="1">
      <c r="E491" s="283"/>
      <c r="I491" s="2"/>
      <c r="J491" s="2"/>
      <c r="K491" s="2"/>
      <c r="Q491" s="2"/>
    </row>
    <row r="492" spans="5:17" ht="14.1" customHeight="1">
      <c r="E492" s="283"/>
      <c r="I492" s="2"/>
      <c r="J492" s="2"/>
      <c r="K492" s="2"/>
      <c r="Q492" s="2"/>
    </row>
    <row r="493" spans="5:17" ht="14.1" customHeight="1">
      <c r="E493" s="283"/>
      <c r="I493" s="2"/>
      <c r="J493" s="2"/>
      <c r="K493" s="2"/>
      <c r="Q493" s="2"/>
    </row>
    <row r="494" spans="5:17" ht="14.1" customHeight="1">
      <c r="E494" s="283"/>
      <c r="I494" s="2"/>
      <c r="J494" s="2"/>
      <c r="K494" s="2"/>
      <c r="Q494" s="2"/>
    </row>
    <row r="495" spans="5:17" ht="14.1" customHeight="1">
      <c r="E495" s="283"/>
      <c r="I495" s="2"/>
      <c r="J495" s="2"/>
      <c r="K495" s="2"/>
      <c r="Q495" s="2"/>
    </row>
    <row r="496" spans="5:17" ht="14.1" customHeight="1">
      <c r="E496" s="283"/>
      <c r="I496" s="2"/>
      <c r="J496" s="2"/>
      <c r="K496" s="2"/>
      <c r="Q496" s="2"/>
    </row>
    <row r="497" spans="5:17" ht="14.1" customHeight="1">
      <c r="E497" s="283"/>
      <c r="I497" s="2"/>
      <c r="J497" s="2"/>
      <c r="K497" s="2"/>
      <c r="Q497" s="2"/>
    </row>
    <row r="498" spans="5:17" ht="14.1" customHeight="1">
      <c r="E498" s="283"/>
      <c r="I498" s="2"/>
      <c r="J498" s="2"/>
      <c r="K498" s="2"/>
      <c r="Q498" s="2"/>
    </row>
    <row r="499" spans="5:17" ht="14.1" customHeight="1">
      <c r="E499" s="283"/>
      <c r="I499" s="2"/>
      <c r="J499" s="2"/>
      <c r="K499" s="2"/>
      <c r="Q499" s="2"/>
    </row>
    <row r="500" spans="5:17" ht="14.1" customHeight="1">
      <c r="E500" s="283"/>
      <c r="I500" s="2"/>
      <c r="J500" s="2"/>
      <c r="K500" s="2"/>
      <c r="Q500" s="2"/>
    </row>
    <row r="501" spans="5:17" ht="14.1" customHeight="1">
      <c r="E501" s="283"/>
      <c r="I501" s="2"/>
      <c r="J501" s="2"/>
      <c r="K501" s="2"/>
      <c r="Q501" s="2"/>
    </row>
    <row r="502" spans="5:17" ht="14.1" customHeight="1">
      <c r="E502" s="283"/>
      <c r="I502" s="2"/>
      <c r="J502" s="2"/>
      <c r="K502" s="2"/>
      <c r="Q502" s="2"/>
    </row>
    <row r="503" spans="5:17" ht="14.1" customHeight="1">
      <c r="E503" s="283"/>
      <c r="I503" s="2"/>
      <c r="J503" s="2"/>
      <c r="K503" s="2"/>
      <c r="Q503" s="2"/>
    </row>
    <row r="504" spans="5:17" ht="14.1" customHeight="1">
      <c r="E504" s="283"/>
      <c r="I504" s="2"/>
      <c r="J504" s="2"/>
      <c r="K504" s="2"/>
      <c r="Q504" s="2"/>
    </row>
    <row r="505" spans="5:17" ht="14.1" customHeight="1">
      <c r="E505" s="283"/>
      <c r="I505" s="2"/>
      <c r="J505" s="2"/>
      <c r="K505" s="2"/>
      <c r="Q505" s="2"/>
    </row>
    <row r="506" spans="5:17" ht="14.1" customHeight="1">
      <c r="E506" s="283"/>
      <c r="I506" s="2"/>
      <c r="J506" s="2"/>
      <c r="K506" s="2"/>
      <c r="Q506" s="2"/>
    </row>
    <row r="507" spans="5:17" ht="14.1" customHeight="1">
      <c r="E507" s="283"/>
      <c r="I507" s="2"/>
      <c r="J507" s="2"/>
      <c r="K507" s="2"/>
      <c r="Q507" s="2"/>
    </row>
    <row r="508" spans="5:17" ht="14.1" customHeight="1">
      <c r="E508" s="283"/>
      <c r="I508" s="2"/>
      <c r="J508" s="2"/>
      <c r="K508" s="2"/>
      <c r="Q508" s="2"/>
    </row>
    <row r="509" spans="5:17" ht="14.1" customHeight="1">
      <c r="E509" s="283"/>
      <c r="I509" s="2"/>
      <c r="J509" s="2"/>
      <c r="K509" s="2"/>
      <c r="Q509" s="2"/>
    </row>
    <row r="510" spans="5:17" ht="14.1" customHeight="1">
      <c r="E510" s="283"/>
      <c r="I510" s="2"/>
      <c r="J510" s="2"/>
      <c r="K510" s="2"/>
      <c r="Q510" s="2"/>
    </row>
    <row r="511" spans="5:17" ht="14.1" customHeight="1">
      <c r="E511" s="283"/>
      <c r="I511" s="2"/>
      <c r="J511" s="2"/>
      <c r="K511" s="2"/>
      <c r="Q511" s="2"/>
    </row>
    <row r="512" spans="5:17" ht="14.1" customHeight="1">
      <c r="E512" s="283"/>
      <c r="I512" s="2"/>
      <c r="J512" s="2"/>
      <c r="K512" s="2"/>
      <c r="Q512" s="2"/>
    </row>
    <row r="513" spans="5:17" ht="14.1" customHeight="1">
      <c r="E513" s="283"/>
      <c r="I513" s="2"/>
      <c r="J513" s="2"/>
      <c r="K513" s="2"/>
      <c r="Q513" s="2"/>
    </row>
    <row r="514" spans="5:17" ht="14.1" customHeight="1">
      <c r="E514" s="283"/>
      <c r="I514" s="2"/>
      <c r="J514" s="2"/>
      <c r="K514" s="2"/>
      <c r="Q514" s="2"/>
    </row>
    <row r="515" spans="5:17" ht="14.1" customHeight="1">
      <c r="E515" s="283"/>
      <c r="I515" s="2"/>
      <c r="J515" s="2"/>
      <c r="K515" s="2"/>
      <c r="Q515" s="2"/>
    </row>
    <row r="516" spans="5:17" ht="14.1" customHeight="1">
      <c r="E516" s="283"/>
      <c r="I516" s="2"/>
      <c r="J516" s="2"/>
      <c r="K516" s="2"/>
      <c r="Q516" s="2"/>
    </row>
    <row r="517" spans="5:17" ht="14.1" customHeight="1">
      <c r="E517" s="283"/>
      <c r="I517" s="2"/>
      <c r="J517" s="2"/>
      <c r="K517" s="2"/>
      <c r="Q517" s="2"/>
    </row>
    <row r="518" spans="5:17" ht="14.1" customHeight="1">
      <c r="E518" s="283"/>
      <c r="I518" s="2"/>
      <c r="J518" s="2"/>
      <c r="K518" s="2"/>
      <c r="Q518" s="2"/>
    </row>
    <row r="519" spans="5:17" ht="14.1" customHeight="1">
      <c r="E519" s="283"/>
      <c r="I519" s="2"/>
      <c r="J519" s="2"/>
      <c r="K519" s="2"/>
      <c r="Q519" s="2"/>
    </row>
    <row r="520" spans="5:17" ht="14.1" customHeight="1">
      <c r="E520" s="283"/>
      <c r="I520" s="2"/>
      <c r="J520" s="2"/>
      <c r="K520" s="2"/>
      <c r="Q520" s="2"/>
    </row>
    <row r="521" spans="5:17" ht="14.1" customHeight="1">
      <c r="E521" s="283"/>
      <c r="I521" s="2"/>
      <c r="J521" s="2"/>
      <c r="K521" s="2"/>
      <c r="Q521" s="2"/>
    </row>
    <row r="522" spans="5:17" ht="14.1" customHeight="1">
      <c r="E522" s="283"/>
      <c r="I522" s="2"/>
      <c r="J522" s="2"/>
      <c r="K522" s="2"/>
      <c r="Q522" s="2"/>
    </row>
    <row r="523" spans="5:17" ht="14.1" customHeight="1">
      <c r="E523" s="283"/>
      <c r="I523" s="2"/>
      <c r="J523" s="2"/>
      <c r="K523" s="2"/>
      <c r="Q523" s="2"/>
    </row>
    <row r="524" spans="5:17" ht="14.1" customHeight="1">
      <c r="E524" s="283"/>
      <c r="I524" s="2"/>
      <c r="J524" s="2"/>
      <c r="K524" s="2"/>
      <c r="Q524" s="2"/>
    </row>
    <row r="525" spans="5:17" ht="14.1" customHeight="1">
      <c r="E525" s="283"/>
      <c r="I525" s="2"/>
      <c r="J525" s="2"/>
      <c r="K525" s="2"/>
      <c r="Q525" s="2"/>
    </row>
    <row r="526" spans="5:17" ht="14.1" customHeight="1">
      <c r="E526" s="283"/>
      <c r="I526" s="2"/>
      <c r="J526" s="2"/>
      <c r="K526" s="2"/>
      <c r="Q526" s="2"/>
    </row>
    <row r="527" spans="5:17" ht="14.1" customHeight="1">
      <c r="E527" s="283"/>
      <c r="I527" s="2"/>
      <c r="J527" s="2"/>
      <c r="K527" s="2"/>
      <c r="Q527" s="2"/>
    </row>
    <row r="528" spans="5:17" ht="14.1" customHeight="1">
      <c r="E528" s="283"/>
      <c r="I528" s="2"/>
      <c r="J528" s="2"/>
      <c r="K528" s="2"/>
      <c r="Q528" s="2"/>
    </row>
    <row r="529" spans="5:17" ht="14.1" customHeight="1">
      <c r="E529" s="283"/>
      <c r="I529" s="2"/>
      <c r="J529" s="2"/>
      <c r="K529" s="2"/>
      <c r="Q529" s="2"/>
    </row>
    <row r="530" spans="5:17" ht="14.1" customHeight="1">
      <c r="E530" s="283"/>
      <c r="I530" s="2"/>
      <c r="J530" s="2"/>
      <c r="K530" s="2"/>
      <c r="Q530" s="2"/>
    </row>
    <row r="531" spans="5:17" ht="14.1" customHeight="1">
      <c r="E531" s="283"/>
      <c r="I531" s="2"/>
      <c r="J531" s="2"/>
      <c r="K531" s="2"/>
      <c r="Q531" s="2"/>
    </row>
    <row r="532" spans="5:17" ht="14.1" customHeight="1">
      <c r="E532" s="283"/>
      <c r="I532" s="2"/>
      <c r="J532" s="2"/>
      <c r="K532" s="2"/>
      <c r="Q532" s="2"/>
    </row>
    <row r="533" spans="5:17" ht="14.1" customHeight="1">
      <c r="E533" s="283"/>
      <c r="I533" s="2"/>
      <c r="J533" s="2"/>
      <c r="K533" s="2"/>
      <c r="Q533" s="2"/>
    </row>
    <row r="534" spans="5:17" ht="14.1" customHeight="1">
      <c r="E534" s="283"/>
      <c r="I534" s="2"/>
      <c r="J534" s="2"/>
      <c r="K534" s="2"/>
      <c r="Q534" s="2"/>
    </row>
    <row r="535" spans="5:17" ht="14.1" customHeight="1">
      <c r="E535" s="283"/>
      <c r="I535" s="2"/>
      <c r="J535" s="2"/>
      <c r="K535" s="2"/>
      <c r="Q535" s="2"/>
    </row>
    <row r="536" spans="5:17" ht="14.1" customHeight="1">
      <c r="E536" s="283"/>
      <c r="I536" s="2"/>
      <c r="J536" s="2"/>
      <c r="K536" s="2"/>
      <c r="Q536" s="2"/>
    </row>
    <row r="537" spans="5:17" ht="14.1" customHeight="1">
      <c r="E537" s="283"/>
      <c r="I537" s="2"/>
      <c r="J537" s="2"/>
      <c r="K537" s="2"/>
      <c r="Q537" s="2"/>
    </row>
    <row r="538" spans="5:17" ht="14.1" customHeight="1">
      <c r="E538" s="283"/>
      <c r="I538" s="2"/>
      <c r="J538" s="2"/>
      <c r="K538" s="2"/>
      <c r="Q538" s="2"/>
    </row>
    <row r="539" spans="5:17" ht="14.1" customHeight="1">
      <c r="E539" s="283"/>
      <c r="I539" s="2"/>
      <c r="J539" s="2"/>
      <c r="K539" s="2"/>
      <c r="Q539" s="2"/>
    </row>
    <row r="540" spans="5:17" ht="14.1" customHeight="1">
      <c r="E540" s="283"/>
      <c r="I540" s="2"/>
      <c r="J540" s="2"/>
      <c r="K540" s="2"/>
      <c r="Q540" s="2"/>
    </row>
    <row r="541" spans="5:17" ht="14.1" customHeight="1">
      <c r="E541" s="283"/>
      <c r="I541" s="2"/>
      <c r="J541" s="2"/>
      <c r="K541" s="2"/>
      <c r="Q541" s="2"/>
    </row>
    <row r="542" spans="5:17" ht="14.1" customHeight="1">
      <c r="E542" s="283"/>
      <c r="I542" s="2"/>
      <c r="J542" s="2"/>
      <c r="K542" s="2"/>
      <c r="Q542" s="2"/>
    </row>
    <row r="543" spans="5:17" ht="14.1" customHeight="1">
      <c r="E543" s="283"/>
      <c r="I543" s="2"/>
      <c r="J543" s="2"/>
      <c r="K543" s="2"/>
      <c r="Q543" s="2"/>
    </row>
    <row r="544" spans="5:17" ht="14.1" customHeight="1">
      <c r="E544" s="283"/>
      <c r="I544" s="2"/>
      <c r="J544" s="2"/>
      <c r="K544" s="2"/>
      <c r="Q544" s="2"/>
    </row>
    <row r="545" spans="5:17" ht="14.1" customHeight="1">
      <c r="E545" s="283"/>
      <c r="I545" s="2"/>
      <c r="J545" s="2"/>
      <c r="K545" s="2"/>
      <c r="Q545" s="2"/>
    </row>
    <row r="546" spans="5:17" ht="14.1" customHeight="1">
      <c r="E546" s="283"/>
      <c r="I546" s="2"/>
      <c r="J546" s="2"/>
      <c r="K546" s="2"/>
      <c r="Q546" s="2"/>
    </row>
    <row r="547" spans="5:17" ht="14.1" customHeight="1">
      <c r="E547" s="283"/>
      <c r="I547" s="2"/>
      <c r="J547" s="2"/>
      <c r="K547" s="2"/>
      <c r="Q547" s="2"/>
    </row>
    <row r="548" spans="5:17" ht="14.1" customHeight="1">
      <c r="E548" s="283"/>
      <c r="I548" s="2"/>
      <c r="J548" s="2"/>
      <c r="K548" s="2"/>
      <c r="Q548" s="2"/>
    </row>
    <row r="549" spans="5:17" ht="14.1" customHeight="1">
      <c r="E549" s="283"/>
      <c r="I549" s="2"/>
      <c r="J549" s="2"/>
      <c r="K549" s="2"/>
      <c r="Q549" s="2"/>
    </row>
    <row r="550" spans="5:17" ht="14.1" customHeight="1">
      <c r="E550" s="283"/>
      <c r="I550" s="2"/>
      <c r="J550" s="2"/>
      <c r="K550" s="2"/>
      <c r="Q550" s="2"/>
    </row>
    <row r="551" spans="5:17" ht="14.1" customHeight="1">
      <c r="E551" s="283"/>
      <c r="I551" s="2"/>
      <c r="J551" s="2"/>
      <c r="K551" s="2"/>
      <c r="Q551" s="2"/>
    </row>
    <row r="552" spans="5:17" ht="14.1" customHeight="1">
      <c r="E552" s="283"/>
      <c r="I552" s="2"/>
      <c r="J552" s="2"/>
      <c r="K552" s="2"/>
      <c r="Q552" s="2"/>
    </row>
    <row r="553" spans="5:17" ht="14.1" customHeight="1">
      <c r="E553" s="283"/>
      <c r="I553" s="2"/>
      <c r="J553" s="2"/>
      <c r="K553" s="2"/>
      <c r="Q553" s="2"/>
    </row>
    <row r="554" spans="5:17" ht="14.1" customHeight="1">
      <c r="E554" s="283"/>
      <c r="I554" s="2"/>
      <c r="J554" s="2"/>
      <c r="K554" s="2"/>
      <c r="Q554" s="2"/>
    </row>
    <row r="555" spans="5:17" ht="14.1" customHeight="1">
      <c r="E555" s="283"/>
      <c r="I555" s="2"/>
      <c r="J555" s="2"/>
      <c r="K555" s="2"/>
      <c r="Q555" s="2"/>
    </row>
    <row r="556" spans="5:17" ht="14.1" customHeight="1">
      <c r="E556" s="283"/>
      <c r="I556" s="2"/>
      <c r="J556" s="2"/>
      <c r="K556" s="2"/>
      <c r="Q556" s="2"/>
    </row>
    <row r="557" spans="5:17" ht="14.1" customHeight="1">
      <c r="E557" s="283"/>
      <c r="I557" s="2"/>
      <c r="J557" s="2"/>
      <c r="K557" s="2"/>
      <c r="Q557" s="2"/>
    </row>
    <row r="558" spans="5:17" ht="14.1" customHeight="1">
      <c r="E558" s="283"/>
      <c r="I558" s="2"/>
      <c r="J558" s="2"/>
      <c r="K558" s="2"/>
      <c r="Q558" s="2"/>
    </row>
    <row r="559" spans="5:17" ht="14.1" customHeight="1">
      <c r="E559" s="283"/>
      <c r="I559" s="2"/>
      <c r="J559" s="2"/>
      <c r="K559" s="2"/>
      <c r="Q559" s="2"/>
    </row>
    <row r="560" spans="5:17" ht="14.1" customHeight="1">
      <c r="E560" s="283"/>
      <c r="I560" s="2"/>
      <c r="J560" s="2"/>
      <c r="K560" s="2"/>
      <c r="Q560" s="2"/>
    </row>
    <row r="561" spans="5:17" ht="14.1" customHeight="1">
      <c r="E561" s="283"/>
      <c r="I561" s="2"/>
      <c r="J561" s="2"/>
      <c r="K561" s="2"/>
      <c r="Q561" s="2"/>
    </row>
    <row r="562" spans="5:17" ht="14.1" customHeight="1">
      <c r="E562" s="283"/>
      <c r="I562" s="2"/>
      <c r="J562" s="2"/>
      <c r="K562" s="2"/>
      <c r="Q562" s="2"/>
    </row>
    <row r="563" spans="5:17" ht="14.1" customHeight="1">
      <c r="E563" s="283"/>
      <c r="I563" s="2"/>
      <c r="J563" s="2"/>
      <c r="K563" s="2"/>
      <c r="Q563" s="2"/>
    </row>
    <row r="564" spans="5:17" ht="14.1" customHeight="1">
      <c r="E564" s="283"/>
      <c r="I564" s="2"/>
      <c r="J564" s="2"/>
      <c r="K564" s="2"/>
      <c r="Q564" s="2"/>
    </row>
    <row r="565" spans="5:17" ht="14.1" customHeight="1">
      <c r="E565" s="283"/>
      <c r="I565" s="2"/>
      <c r="J565" s="2"/>
      <c r="K565" s="2"/>
      <c r="Q565" s="2"/>
    </row>
    <row r="566" spans="5:17" ht="14.1" customHeight="1">
      <c r="E566" s="283"/>
      <c r="I566" s="2"/>
      <c r="J566" s="2"/>
      <c r="K566" s="2"/>
      <c r="Q566" s="2"/>
    </row>
    <row r="567" spans="5:17" ht="14.1" customHeight="1">
      <c r="E567" s="283"/>
      <c r="I567" s="2"/>
      <c r="J567" s="2"/>
      <c r="K567" s="2"/>
      <c r="Q567" s="2"/>
    </row>
    <row r="568" spans="5:17" ht="14.1" customHeight="1">
      <c r="E568" s="283"/>
      <c r="I568" s="2"/>
      <c r="J568" s="2"/>
      <c r="K568" s="2"/>
      <c r="Q568" s="2"/>
    </row>
    <row r="569" spans="5:17" ht="14.1" customHeight="1">
      <c r="E569" s="283"/>
      <c r="I569" s="2"/>
      <c r="J569" s="2"/>
      <c r="K569" s="2"/>
      <c r="Q569" s="2"/>
    </row>
    <row r="570" spans="5:17" ht="14.1" customHeight="1">
      <c r="E570" s="283"/>
      <c r="I570" s="2"/>
      <c r="J570" s="2"/>
      <c r="K570" s="2"/>
      <c r="Q570" s="2"/>
    </row>
    <row r="571" spans="5:17" ht="14.1" customHeight="1">
      <c r="E571" s="283"/>
      <c r="I571" s="2"/>
      <c r="J571" s="2"/>
      <c r="K571" s="2"/>
      <c r="Q571" s="2"/>
    </row>
    <row r="572" spans="5:17" ht="14.1" customHeight="1">
      <c r="E572" s="283"/>
      <c r="I572" s="2"/>
      <c r="J572" s="2"/>
      <c r="K572" s="2"/>
      <c r="Q572" s="2"/>
    </row>
    <row r="573" spans="5:17" ht="14.1" customHeight="1">
      <c r="E573" s="283"/>
      <c r="I573" s="2"/>
      <c r="J573" s="2"/>
      <c r="K573" s="2"/>
      <c r="Q573" s="2"/>
    </row>
    <row r="574" spans="5:17" ht="14.1" customHeight="1">
      <c r="E574" s="283"/>
      <c r="I574" s="2"/>
      <c r="J574" s="2"/>
      <c r="K574" s="2"/>
      <c r="Q574" s="2"/>
    </row>
    <row r="575" spans="5:17" ht="14.1" customHeight="1">
      <c r="E575" s="283"/>
      <c r="I575" s="2"/>
      <c r="J575" s="2"/>
      <c r="K575" s="2"/>
      <c r="Q575" s="2"/>
    </row>
    <row r="576" spans="5:17" ht="14.1" customHeight="1">
      <c r="E576" s="283"/>
      <c r="I576" s="2"/>
      <c r="J576" s="2"/>
      <c r="K576" s="2"/>
      <c r="Q576" s="2"/>
    </row>
    <row r="577" spans="5:17" ht="14.1" customHeight="1">
      <c r="E577" s="283"/>
      <c r="I577" s="2"/>
      <c r="J577" s="2"/>
      <c r="K577" s="2"/>
      <c r="Q577" s="2"/>
    </row>
    <row r="578" spans="5:17" ht="14.1" customHeight="1">
      <c r="E578" s="283"/>
      <c r="I578" s="2"/>
      <c r="J578" s="2"/>
      <c r="K578" s="2"/>
      <c r="Q578" s="2"/>
    </row>
    <row r="579" spans="5:17" ht="14.1" customHeight="1">
      <c r="E579" s="283"/>
      <c r="I579" s="2"/>
      <c r="J579" s="2"/>
      <c r="K579" s="2"/>
      <c r="Q579" s="2"/>
    </row>
    <row r="580" spans="5:17" ht="14.1" customHeight="1">
      <c r="E580" s="283"/>
      <c r="I580" s="2"/>
      <c r="J580" s="2"/>
      <c r="K580" s="2"/>
      <c r="Q580" s="2"/>
    </row>
    <row r="581" spans="5:17" ht="14.1" customHeight="1">
      <c r="E581" s="283"/>
      <c r="I581" s="2"/>
      <c r="J581" s="2"/>
      <c r="K581" s="2"/>
      <c r="Q581" s="2"/>
    </row>
    <row r="582" spans="5:17" ht="14.1" customHeight="1">
      <c r="E582" s="283"/>
      <c r="I582" s="2"/>
      <c r="J582" s="2"/>
      <c r="K582" s="2"/>
      <c r="Q582" s="2"/>
    </row>
    <row r="583" spans="5:17" ht="14.1" customHeight="1">
      <c r="E583" s="283"/>
      <c r="I583" s="2"/>
      <c r="J583" s="2"/>
      <c r="K583" s="2"/>
      <c r="Q583" s="2"/>
    </row>
    <row r="584" spans="5:17" ht="14.1" customHeight="1">
      <c r="E584" s="283"/>
      <c r="I584" s="2"/>
      <c r="J584" s="2"/>
      <c r="K584" s="2"/>
      <c r="Q584" s="2"/>
    </row>
    <row r="585" spans="5:17" ht="14.1" customHeight="1">
      <c r="E585" s="283"/>
      <c r="I585" s="2"/>
      <c r="J585" s="2"/>
      <c r="K585" s="2"/>
      <c r="Q585" s="2"/>
    </row>
    <row r="586" spans="5:17" ht="14.1" customHeight="1">
      <c r="E586" s="283"/>
      <c r="I586" s="2"/>
      <c r="J586" s="2"/>
      <c r="K586" s="2"/>
      <c r="Q586" s="2"/>
    </row>
    <row r="587" spans="5:17" ht="14.1" customHeight="1">
      <c r="E587" s="283"/>
      <c r="I587" s="2"/>
      <c r="J587" s="2"/>
      <c r="K587" s="2"/>
      <c r="Q587" s="2"/>
    </row>
  </sheetData>
  <mergeCells count="155">
    <mergeCell ref="F101:F102"/>
    <mergeCell ref="F109:F110"/>
    <mergeCell ref="E54:E58"/>
    <mergeCell ref="F105:F106"/>
    <mergeCell ref="O138:Q138"/>
    <mergeCell ref="B7:C7"/>
    <mergeCell ref="A3:C3"/>
    <mergeCell ref="E3:E4"/>
    <mergeCell ref="A5:C5"/>
    <mergeCell ref="F66:F67"/>
    <mergeCell ref="F44:F45"/>
    <mergeCell ref="D48:D49"/>
    <mergeCell ref="F99:F100"/>
    <mergeCell ref="F40:F41"/>
    <mergeCell ref="E48:E49"/>
    <mergeCell ref="B47:C47"/>
    <mergeCell ref="C44:C45"/>
    <mergeCell ref="C52:C53"/>
    <mergeCell ref="A64:C64"/>
    <mergeCell ref="D66:D67"/>
    <mergeCell ref="D44:D45"/>
    <mergeCell ref="E44:E45"/>
    <mergeCell ref="E66:E67"/>
    <mergeCell ref="C66:C67"/>
    <mergeCell ref="G54:H54"/>
    <mergeCell ref="C61:C63"/>
    <mergeCell ref="E61:E63"/>
    <mergeCell ref="E59:E60"/>
    <mergeCell ref="A103:C103"/>
    <mergeCell ref="D99:D100"/>
    <mergeCell ref="D101:D102"/>
    <mergeCell ref="D105:D106"/>
    <mergeCell ref="B104:C104"/>
    <mergeCell ref="C105:C106"/>
    <mergeCell ref="C54:C58"/>
    <mergeCell ref="A68:C68"/>
    <mergeCell ref="C99:C100"/>
    <mergeCell ref="E99:E100"/>
    <mergeCell ref="B65:C65"/>
    <mergeCell ref="C59:C60"/>
    <mergeCell ref="B98:C98"/>
    <mergeCell ref="B70:B96"/>
    <mergeCell ref="A97:C97"/>
    <mergeCell ref="C101:C102"/>
    <mergeCell ref="E101:E102"/>
    <mergeCell ref="D54:D58"/>
    <mergeCell ref="D59:D60"/>
    <mergeCell ref="D61:D63"/>
    <mergeCell ref="B37:C37"/>
    <mergeCell ref="F52:F53"/>
    <mergeCell ref="A50:C50"/>
    <mergeCell ref="C40:C41"/>
    <mergeCell ref="D52:D53"/>
    <mergeCell ref="E38:E39"/>
    <mergeCell ref="C38:C39"/>
    <mergeCell ref="E52:E53"/>
    <mergeCell ref="A42:C42"/>
    <mergeCell ref="D40:D41"/>
    <mergeCell ref="B51:C51"/>
    <mergeCell ref="E105:E106"/>
    <mergeCell ref="C115:C116"/>
    <mergeCell ref="E115:E116"/>
    <mergeCell ref="F115:F116"/>
    <mergeCell ref="B114:C114"/>
    <mergeCell ref="D117:D118"/>
    <mergeCell ref="A113:C113"/>
    <mergeCell ref="D115:D116"/>
    <mergeCell ref="C109:C110"/>
    <mergeCell ref="D109:D110"/>
    <mergeCell ref="E109:E110"/>
    <mergeCell ref="F117:F118"/>
    <mergeCell ref="B122:C122"/>
    <mergeCell ref="D119:D120"/>
    <mergeCell ref="E129:E131"/>
    <mergeCell ref="C123:C124"/>
    <mergeCell ref="D123:D124"/>
    <mergeCell ref="D129:D131"/>
    <mergeCell ref="E123:E124"/>
    <mergeCell ref="C127:C128"/>
    <mergeCell ref="E127:E128"/>
    <mergeCell ref="D125:D126"/>
    <mergeCell ref="D127:D128"/>
    <mergeCell ref="A121:C121"/>
    <mergeCell ref="R139:T139"/>
    <mergeCell ref="D2:F2"/>
    <mergeCell ref="A2:C2"/>
    <mergeCell ref="R3:R4"/>
    <mergeCell ref="S3:S4"/>
    <mergeCell ref="T3:T4"/>
    <mergeCell ref="F34:F36"/>
    <mergeCell ref="F129:F131"/>
    <mergeCell ref="C117:C118"/>
    <mergeCell ref="C129:C131"/>
    <mergeCell ref="D34:D36"/>
    <mergeCell ref="E34:E36"/>
    <mergeCell ref="R2:T2"/>
    <mergeCell ref="Q3:Q4"/>
    <mergeCell ref="G3:P4"/>
    <mergeCell ref="A6:C6"/>
    <mergeCell ref="E134:E135"/>
    <mergeCell ref="F134:F135"/>
    <mergeCell ref="C136:C137"/>
    <mergeCell ref="D136:D137"/>
    <mergeCell ref="E136:E137"/>
    <mergeCell ref="F136:F137"/>
    <mergeCell ref="A132:C132"/>
    <mergeCell ref="B133:C133"/>
    <mergeCell ref="A1:Q1"/>
    <mergeCell ref="J8:L8"/>
    <mergeCell ref="N68:Q68"/>
    <mergeCell ref="N69:Q69"/>
    <mergeCell ref="N70:Q70"/>
    <mergeCell ref="N5:Q5"/>
    <mergeCell ref="I33:J33"/>
    <mergeCell ref="C34:C36"/>
    <mergeCell ref="D95:D96"/>
    <mergeCell ref="E95:E96"/>
    <mergeCell ref="N95:Q95"/>
    <mergeCell ref="D38:D39"/>
    <mergeCell ref="E40:E41"/>
    <mergeCell ref="B43:C43"/>
    <mergeCell ref="F48:F49"/>
    <mergeCell ref="F54:F58"/>
    <mergeCell ref="F59:F60"/>
    <mergeCell ref="F61:F63"/>
    <mergeCell ref="I2:Q2"/>
    <mergeCell ref="A46:C46"/>
    <mergeCell ref="F38:F39"/>
    <mergeCell ref="D3:D4"/>
    <mergeCell ref="F3:F4"/>
    <mergeCell ref="C48:C49"/>
    <mergeCell ref="C134:C135"/>
    <mergeCell ref="D134:D135"/>
    <mergeCell ref="C119:C120"/>
    <mergeCell ref="E119:E120"/>
    <mergeCell ref="F119:F120"/>
    <mergeCell ref="C107:C108"/>
    <mergeCell ref="D107:D108"/>
    <mergeCell ref="A69:A96"/>
    <mergeCell ref="B69:C69"/>
    <mergeCell ref="A104:A112"/>
    <mergeCell ref="C111:C112"/>
    <mergeCell ref="D111:D112"/>
    <mergeCell ref="F95:F96"/>
    <mergeCell ref="E70:E89"/>
    <mergeCell ref="F127:F128"/>
    <mergeCell ref="E107:E108"/>
    <mergeCell ref="F107:F108"/>
    <mergeCell ref="F111:F112"/>
    <mergeCell ref="E111:E112"/>
    <mergeCell ref="F123:F124"/>
    <mergeCell ref="F125:F126"/>
    <mergeCell ref="E117:E118"/>
    <mergeCell ref="C125:C126"/>
    <mergeCell ref="E125:E126"/>
  </mergeCells>
  <phoneticPr fontId="2" type="noConversion"/>
  <printOptions horizontalCentered="1"/>
  <pageMargins left="0" right="0" top="0.11811023622047245" bottom="0.11811023622047245" header="0" footer="0"/>
  <pageSetup paperSize="9" scale="87" fitToHeight="0" orientation="portrait" useFirstPageNumber="1" horizontalDpi="4294967293" r:id="rId1"/>
  <headerFooter alignWithMargins="0"/>
  <rowBreaks count="4" manualBreakCount="4">
    <brk id="36" max="16" man="1"/>
    <brk id="67" max="16" man="1"/>
    <brk id="96" max="16" man="1"/>
    <brk id="128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3"/>
  <sheetViews>
    <sheetView tabSelected="1" view="pageBreakPreview" topLeftCell="A121" zoomScaleSheetLayoutView="100" workbookViewId="0">
      <selection activeCell="G114" sqref="G114"/>
    </sheetView>
  </sheetViews>
  <sheetFormatPr defaultColWidth="8.88671875" defaultRowHeight="15.75" customHeight="1"/>
  <cols>
    <col min="1" max="1" width="3.88671875" style="1" customWidth="1"/>
    <col min="2" max="2" width="3.77734375" style="1" customWidth="1"/>
    <col min="3" max="3" width="10.21875" style="1" customWidth="1"/>
    <col min="4" max="4" width="9.5546875" style="817" customWidth="1"/>
    <col min="5" max="5" width="14.88671875" style="817" customWidth="1"/>
    <col min="6" max="6" width="14.6640625" style="817" customWidth="1"/>
    <col min="7" max="7" width="11.33203125" style="1" customWidth="1"/>
    <col min="8" max="8" width="13" style="99" customWidth="1"/>
    <col min="9" max="10" width="1.6640625" style="1" customWidth="1"/>
    <col min="11" max="11" width="3.6640625" style="1" customWidth="1"/>
    <col min="12" max="12" width="2.6640625" style="1" bestFit="1" customWidth="1"/>
    <col min="13" max="13" width="1.6640625" style="1" customWidth="1"/>
    <col min="14" max="14" width="3.109375" style="1" customWidth="1"/>
    <col min="15" max="15" width="1.6640625" style="1" customWidth="1"/>
    <col min="16" max="16" width="1.6640625" style="26" customWidth="1"/>
    <col min="17" max="17" width="21" style="1" customWidth="1"/>
    <col min="18" max="18" width="12.33203125" style="1" customWidth="1"/>
    <col min="19" max="19" width="12" style="1" customWidth="1"/>
    <col min="20" max="20" width="8.88671875" style="1"/>
    <col min="21" max="21" width="15.33203125" style="1" bestFit="1" customWidth="1"/>
    <col min="22" max="22" width="11.33203125" style="1" bestFit="1" customWidth="1"/>
    <col min="23" max="16384" width="8.88671875" style="1"/>
  </cols>
  <sheetData>
    <row r="1" spans="1:22" s="2" customFormat="1" ht="40.5" customHeight="1">
      <c r="A1" s="1197" t="s">
        <v>768</v>
      </c>
      <c r="B1" s="1197"/>
      <c r="C1" s="1197"/>
      <c r="D1" s="1197"/>
      <c r="E1" s="1197"/>
      <c r="F1" s="1197"/>
      <c r="G1" s="1197"/>
      <c r="H1" s="1197"/>
      <c r="I1" s="1197"/>
      <c r="J1" s="1197"/>
      <c r="K1" s="1197"/>
      <c r="L1" s="1197"/>
      <c r="M1" s="1197"/>
      <c r="N1" s="1197"/>
      <c r="O1" s="1197"/>
      <c r="P1" s="1197"/>
      <c r="Q1" s="1197"/>
      <c r="R1" s="403"/>
      <c r="S1" s="403"/>
      <c r="T1" s="403"/>
    </row>
    <row r="2" spans="1:22" s="2" customFormat="1" ht="24" customHeight="1" thickBot="1">
      <c r="A2" s="1201" t="s">
        <v>497</v>
      </c>
      <c r="B2" s="1201"/>
      <c r="C2" s="1201"/>
      <c r="D2" s="1200" t="s">
        <v>794</v>
      </c>
      <c r="E2" s="1200"/>
      <c r="F2" s="1200"/>
      <c r="G2" s="41"/>
      <c r="H2" s="1202" t="str">
        <f>표제!A42</f>
        <v>YJ주야간보호센터</v>
      </c>
      <c r="I2" s="1202"/>
      <c r="J2" s="1202"/>
      <c r="K2" s="1202"/>
      <c r="L2" s="1202"/>
      <c r="M2" s="1202"/>
      <c r="N2" s="1202"/>
      <c r="O2" s="1202"/>
      <c r="P2" s="1202"/>
      <c r="Q2" s="1202"/>
      <c r="R2" s="3" t="s">
        <v>498</v>
      </c>
      <c r="S2" s="1196">
        <f>세입예산서!R139-R5-S5</f>
        <v>-0.48749999701976776</v>
      </c>
      <c r="T2" s="1196"/>
      <c r="U2" s="1108" t="s">
        <v>499</v>
      </c>
      <c r="V2" s="1108"/>
    </row>
    <row r="3" spans="1:22" s="94" customFormat="1" ht="21.75" customHeight="1">
      <c r="A3" s="1214" t="s">
        <v>500</v>
      </c>
      <c r="B3" s="1215"/>
      <c r="C3" s="1215"/>
      <c r="D3" s="1102" t="s">
        <v>814</v>
      </c>
      <c r="E3" s="1102" t="s">
        <v>812</v>
      </c>
      <c r="F3" s="1104" t="s">
        <v>501</v>
      </c>
      <c r="G3" s="1206" t="s">
        <v>502</v>
      </c>
      <c r="H3" s="1207"/>
      <c r="I3" s="1207"/>
      <c r="J3" s="1207"/>
      <c r="K3" s="1207"/>
      <c r="L3" s="1207"/>
      <c r="M3" s="1207"/>
      <c r="N3" s="1207"/>
      <c r="O3" s="1207"/>
      <c r="P3" s="1207"/>
      <c r="Q3" s="1204" t="s">
        <v>503</v>
      </c>
      <c r="R3" s="1203" t="s">
        <v>184</v>
      </c>
      <c r="S3" s="1120"/>
      <c r="T3" s="1120"/>
      <c r="U3" s="663" t="s">
        <v>504</v>
      </c>
      <c r="V3" s="664">
        <f>Q15+Q27+Q30</f>
        <v>38657995.862499997</v>
      </c>
    </row>
    <row r="4" spans="1:22" s="94" customFormat="1" ht="21.75" customHeight="1" thickBot="1">
      <c r="A4" s="276" t="s">
        <v>505</v>
      </c>
      <c r="B4" s="277" t="s">
        <v>506</v>
      </c>
      <c r="C4" s="277" t="s">
        <v>507</v>
      </c>
      <c r="D4" s="1210"/>
      <c r="E4" s="1210"/>
      <c r="F4" s="1213"/>
      <c r="G4" s="1208"/>
      <c r="H4" s="1209"/>
      <c r="I4" s="1209"/>
      <c r="J4" s="1209"/>
      <c r="K4" s="1209"/>
      <c r="L4" s="1209"/>
      <c r="M4" s="1209"/>
      <c r="N4" s="1209"/>
      <c r="O4" s="1209"/>
      <c r="P4" s="1209"/>
      <c r="Q4" s="1205"/>
      <c r="R4" s="404" t="s">
        <v>508</v>
      </c>
      <c r="S4" s="281" t="s">
        <v>509</v>
      </c>
      <c r="T4" s="282" t="s">
        <v>510</v>
      </c>
      <c r="U4" s="663" t="s">
        <v>827</v>
      </c>
      <c r="V4" s="664">
        <f>세입예산서!Q8+세입예산서!N70+세입예산서!N95</f>
        <v>73643160</v>
      </c>
    </row>
    <row r="5" spans="1:22" s="2" customFormat="1" ht="23.25" customHeight="1" thickBot="1">
      <c r="A5" s="1211" t="s">
        <v>511</v>
      </c>
      <c r="B5" s="1212"/>
      <c r="C5" s="1212"/>
      <c r="D5" s="845">
        <v>0</v>
      </c>
      <c r="E5" s="778">
        <f>E6+E104+E113+E138+E142+E145+E152+E155+E159+E163</f>
        <v>108276200.4875</v>
      </c>
      <c r="F5" s="779">
        <f>E5-D5</f>
        <v>108276200.4875</v>
      </c>
      <c r="G5" s="334"/>
      <c r="H5" s="333"/>
      <c r="I5" s="333"/>
      <c r="J5" s="333"/>
      <c r="K5" s="333"/>
      <c r="L5" s="333"/>
      <c r="M5" s="333"/>
      <c r="N5" s="333"/>
      <c r="O5" s="1224">
        <f>O6+Q104+O113+Q138+Q142+O145+Q152+Q155+P159+Q163</f>
        <v>108276200.4875</v>
      </c>
      <c r="P5" s="1224"/>
      <c r="Q5" s="1225"/>
      <c r="R5" s="286">
        <f>SUM(R8:R162)</f>
        <v>0</v>
      </c>
      <c r="S5" s="286">
        <f>SUM(S7:S163)</f>
        <v>108276200.4875</v>
      </c>
      <c r="T5" s="286">
        <f>SUM(T8:T162)</f>
        <v>0</v>
      </c>
      <c r="U5" s="285"/>
      <c r="V5" s="665">
        <f>V3/V4</f>
        <v>0.52493667928562537</v>
      </c>
    </row>
    <row r="6" spans="1:22" s="2" customFormat="1" ht="23.25" customHeight="1">
      <c r="A6" s="1127" t="s">
        <v>512</v>
      </c>
      <c r="B6" s="1128"/>
      <c r="C6" s="1128"/>
      <c r="D6" s="846">
        <v>0</v>
      </c>
      <c r="E6" s="780">
        <f>E7+E53+E62</f>
        <v>86581021.487499997</v>
      </c>
      <c r="F6" s="781">
        <f>E6-D6</f>
        <v>86581021.487499997</v>
      </c>
      <c r="G6" s="237"/>
      <c r="H6" s="238"/>
      <c r="I6" s="238"/>
      <c r="J6" s="238"/>
      <c r="K6" s="238"/>
      <c r="L6" s="238"/>
      <c r="M6" s="238"/>
      <c r="N6" s="238"/>
      <c r="O6" s="1226">
        <f>O7+Q53+O62</f>
        <v>86581021.487499997</v>
      </c>
      <c r="P6" s="1226"/>
      <c r="Q6" s="1227"/>
      <c r="R6" s="406">
        <f>[1]세입예산서!R248-R7</f>
        <v>0</v>
      </c>
      <c r="S6" s="286"/>
      <c r="T6" s="286">
        <f>T7-[1]세입예산서!T248</f>
        <v>0</v>
      </c>
    </row>
    <row r="7" spans="1:22" s="2" customFormat="1" ht="23.25" customHeight="1">
      <c r="A7" s="337"/>
      <c r="B7" s="1071" t="s">
        <v>347</v>
      </c>
      <c r="C7" s="1072"/>
      <c r="D7" s="847">
        <v>0</v>
      </c>
      <c r="E7" s="782">
        <f>E8+E21+E23+E25+E28</f>
        <v>56391021.487499997</v>
      </c>
      <c r="F7" s="783">
        <f>E7-D7</f>
        <v>56391021.487499997</v>
      </c>
      <c r="G7" s="158"/>
      <c r="H7" s="156"/>
      <c r="I7" s="156"/>
      <c r="J7" s="156"/>
      <c r="K7" s="156"/>
      <c r="L7" s="156"/>
      <c r="M7" s="156"/>
      <c r="N7" s="156"/>
      <c r="O7" s="1198">
        <f>Q8+Q21+Q23+Q28+Q25</f>
        <v>56391021.487499997</v>
      </c>
      <c r="P7" s="1198"/>
      <c r="Q7" s="1199"/>
      <c r="R7" s="407">
        <f>SUM(R8:R162)</f>
        <v>0</v>
      </c>
      <c r="T7" s="290">
        <f>SUM(T8:T162)</f>
        <v>0</v>
      </c>
    </row>
    <row r="8" spans="1:22" s="2" customFormat="1" ht="23.25" customHeight="1">
      <c r="A8" s="338"/>
      <c r="B8" s="10"/>
      <c r="C8" s="1091" t="s">
        <v>90</v>
      </c>
      <c r="D8" s="1217">
        <v>0</v>
      </c>
      <c r="E8" s="1063">
        <f>Q8</f>
        <v>47700000</v>
      </c>
      <c r="F8" s="1063">
        <f>E8-D8</f>
        <v>47700000</v>
      </c>
      <c r="G8" s="1228" t="s">
        <v>8</v>
      </c>
      <c r="H8" s="1229"/>
      <c r="I8" s="159"/>
      <c r="J8" s="159"/>
      <c r="K8" s="159"/>
      <c r="L8" s="159"/>
      <c r="M8" s="159"/>
      <c r="N8" s="159"/>
      <c r="O8" s="159"/>
      <c r="P8" s="159" t="s">
        <v>3</v>
      </c>
      <c r="Q8" s="736">
        <f>Q9+Q15</f>
        <v>47700000</v>
      </c>
      <c r="R8" s="408"/>
      <c r="S8" s="287">
        <f>Q8</f>
        <v>47700000</v>
      </c>
      <c r="T8" s="285"/>
    </row>
    <row r="9" spans="1:22" s="2" customFormat="1" ht="23.25" customHeight="1">
      <c r="A9" s="338"/>
      <c r="B9" s="7"/>
      <c r="C9" s="1092"/>
      <c r="D9" s="1218"/>
      <c r="E9" s="1077"/>
      <c r="F9" s="1077"/>
      <c r="G9" s="1221" t="s">
        <v>513</v>
      </c>
      <c r="H9" s="1222"/>
      <c r="I9" s="765"/>
      <c r="J9" s="765"/>
      <c r="K9" s="765"/>
      <c r="L9" s="765"/>
      <c r="M9" s="765"/>
      <c r="N9" s="765"/>
      <c r="O9" s="765"/>
      <c r="P9" s="765"/>
      <c r="Q9" s="766">
        <f>SUM(Q10:Q14)</f>
        <v>15000000</v>
      </c>
      <c r="R9" s="405"/>
      <c r="S9" s="285"/>
      <c r="T9" s="285"/>
    </row>
    <row r="10" spans="1:22" s="2" customFormat="1" ht="23.25" customHeight="1">
      <c r="A10" s="338"/>
      <c r="B10" s="7"/>
      <c r="C10" s="1092"/>
      <c r="D10" s="1218"/>
      <c r="E10" s="1077"/>
      <c r="F10" s="1077"/>
      <c r="G10" s="160" t="s">
        <v>825</v>
      </c>
      <c r="H10" s="999">
        <v>2500000</v>
      </c>
      <c r="I10" s="161" t="s">
        <v>514</v>
      </c>
      <c r="J10" s="161" t="s">
        <v>515</v>
      </c>
      <c r="K10" s="162">
        <v>1</v>
      </c>
      <c r="L10" s="161" t="s">
        <v>516</v>
      </c>
      <c r="M10" s="161" t="s">
        <v>515</v>
      </c>
      <c r="N10" s="162">
        <v>6</v>
      </c>
      <c r="O10" s="161" t="s">
        <v>20</v>
      </c>
      <c r="P10" s="163" t="s">
        <v>517</v>
      </c>
      <c r="Q10" s="340">
        <f>(H10*K10)*N10</f>
        <v>15000000</v>
      </c>
      <c r="R10" s="405"/>
      <c r="S10" s="285"/>
      <c r="T10" s="285"/>
      <c r="V10" s="284"/>
    </row>
    <row r="11" spans="1:22" s="2" customFormat="1" ht="23.25" customHeight="1">
      <c r="A11" s="338"/>
      <c r="B11" s="7"/>
      <c r="C11" s="1092"/>
      <c r="D11" s="1218"/>
      <c r="E11" s="1077"/>
      <c r="F11" s="1077"/>
      <c r="G11" s="164" t="s">
        <v>290</v>
      </c>
      <c r="H11" s="476">
        <v>0</v>
      </c>
      <c r="I11" s="166" t="s">
        <v>514</v>
      </c>
      <c r="J11" s="166" t="s">
        <v>515</v>
      </c>
      <c r="K11" s="167">
        <v>0</v>
      </c>
      <c r="L11" s="166" t="s">
        <v>516</v>
      </c>
      <c r="M11" s="166" t="s">
        <v>515</v>
      </c>
      <c r="N11" s="167">
        <v>0</v>
      </c>
      <c r="O11" s="166" t="s">
        <v>518</v>
      </c>
      <c r="P11" s="168" t="s">
        <v>519</v>
      </c>
      <c r="Q11" s="341">
        <f>H11*K11*N11</f>
        <v>0</v>
      </c>
      <c r="R11" s="405"/>
      <c r="S11" s="285"/>
      <c r="T11" s="285"/>
      <c r="V11" s="283"/>
    </row>
    <row r="12" spans="1:22" s="2" customFormat="1" ht="23.25" customHeight="1">
      <c r="A12" s="338"/>
      <c r="B12" s="7"/>
      <c r="C12" s="1092"/>
      <c r="D12" s="1218"/>
      <c r="E12" s="1077"/>
      <c r="F12" s="1077"/>
      <c r="G12" s="164" t="s">
        <v>478</v>
      </c>
      <c r="H12" s="476">
        <v>0</v>
      </c>
      <c r="I12" s="166" t="s">
        <v>520</v>
      </c>
      <c r="J12" s="166" t="s">
        <v>521</v>
      </c>
      <c r="K12" s="167">
        <v>0</v>
      </c>
      <c r="L12" s="166" t="s">
        <v>522</v>
      </c>
      <c r="M12" s="166" t="s">
        <v>521</v>
      </c>
      <c r="N12" s="167">
        <v>0</v>
      </c>
      <c r="O12" s="166" t="s">
        <v>523</v>
      </c>
      <c r="P12" s="168" t="s">
        <v>524</v>
      </c>
      <c r="Q12" s="341">
        <f>H12*K12*N12</f>
        <v>0</v>
      </c>
      <c r="R12" s="405"/>
      <c r="S12" s="285"/>
      <c r="T12" s="285"/>
    </row>
    <row r="13" spans="1:22" s="2" customFormat="1" ht="23.25" customHeight="1">
      <c r="A13" s="338"/>
      <c r="B13" s="7"/>
      <c r="C13" s="1092"/>
      <c r="D13" s="1218"/>
      <c r="E13" s="1077"/>
      <c r="F13" s="1077"/>
      <c r="G13" s="164" t="s">
        <v>749</v>
      </c>
      <c r="H13" s="476">
        <v>0</v>
      </c>
      <c r="I13" s="166" t="s">
        <v>520</v>
      </c>
      <c r="J13" s="166" t="s">
        <v>521</v>
      </c>
      <c r="K13" s="167">
        <v>0</v>
      </c>
      <c r="L13" s="166" t="s">
        <v>522</v>
      </c>
      <c r="M13" s="166" t="s">
        <v>521</v>
      </c>
      <c r="N13" s="167">
        <v>0</v>
      </c>
      <c r="O13" s="166" t="s">
        <v>523</v>
      </c>
      <c r="P13" s="168" t="s">
        <v>524</v>
      </c>
      <c r="Q13" s="341">
        <f>H13*K13*N13</f>
        <v>0</v>
      </c>
      <c r="R13" s="405"/>
      <c r="S13" s="285"/>
      <c r="T13" s="285"/>
      <c r="U13" s="833"/>
    </row>
    <row r="14" spans="1:22" s="2" customFormat="1" ht="23.25" customHeight="1">
      <c r="A14" s="338"/>
      <c r="B14" s="7"/>
      <c r="C14" s="1092"/>
      <c r="D14" s="1218"/>
      <c r="E14" s="1077"/>
      <c r="F14" s="1077"/>
      <c r="G14" s="164" t="s">
        <v>525</v>
      </c>
      <c r="H14" s="476">
        <v>0</v>
      </c>
      <c r="I14" s="166" t="s">
        <v>526</v>
      </c>
      <c r="J14" s="166" t="s">
        <v>527</v>
      </c>
      <c r="K14" s="167">
        <v>1</v>
      </c>
      <c r="L14" s="166" t="s">
        <v>528</v>
      </c>
      <c r="M14" s="166" t="s">
        <v>527</v>
      </c>
      <c r="N14" s="167">
        <v>6</v>
      </c>
      <c r="O14" s="166" t="s">
        <v>529</v>
      </c>
      <c r="P14" s="168" t="s">
        <v>530</v>
      </c>
      <c r="Q14" s="341">
        <f>H14*K14*N14</f>
        <v>0</v>
      </c>
      <c r="R14" s="405"/>
      <c r="S14" s="285"/>
      <c r="T14" s="285"/>
    </row>
    <row r="15" spans="1:22" s="2" customFormat="1" ht="23.25" customHeight="1">
      <c r="A15" s="338"/>
      <c r="B15" s="7"/>
      <c r="C15" s="1092"/>
      <c r="D15" s="1218"/>
      <c r="E15" s="1077"/>
      <c r="F15" s="1077"/>
      <c r="G15" s="1221" t="s">
        <v>531</v>
      </c>
      <c r="H15" s="1222"/>
      <c r="I15" s="764"/>
      <c r="J15" s="764"/>
      <c r="K15" s="764"/>
      <c r="L15" s="764"/>
      <c r="M15" s="764"/>
      <c r="N15" s="764"/>
      <c r="O15" s="764"/>
      <c r="P15" s="764"/>
      <c r="Q15" s="767">
        <f>SUM(Q16:Q20)</f>
        <v>32700000</v>
      </c>
      <c r="R15" s="405"/>
      <c r="S15" s="285"/>
      <c r="T15" s="285"/>
    </row>
    <row r="16" spans="1:22" s="2" customFormat="1" ht="23.25" customHeight="1">
      <c r="A16" s="338"/>
      <c r="B16" s="7"/>
      <c r="C16" s="1092"/>
      <c r="D16" s="1218"/>
      <c r="E16" s="1077"/>
      <c r="F16" s="1077"/>
      <c r="G16" s="459" t="s">
        <v>532</v>
      </c>
      <c r="H16" s="476">
        <v>1850000</v>
      </c>
      <c r="I16" s="166" t="s">
        <v>533</v>
      </c>
      <c r="J16" s="166" t="s">
        <v>534</v>
      </c>
      <c r="K16" s="167">
        <v>1</v>
      </c>
      <c r="L16" s="166" t="s">
        <v>535</v>
      </c>
      <c r="M16" s="166" t="s">
        <v>534</v>
      </c>
      <c r="N16" s="167">
        <v>6</v>
      </c>
      <c r="O16" s="166" t="s">
        <v>536</v>
      </c>
      <c r="P16" s="168" t="s">
        <v>537</v>
      </c>
      <c r="Q16" s="341">
        <f>H16*K16*N16</f>
        <v>11100000</v>
      </c>
      <c r="R16" s="405"/>
      <c r="S16" s="285"/>
      <c r="T16" s="285"/>
    </row>
    <row r="17" spans="1:20" s="2" customFormat="1" ht="23.25" customHeight="1">
      <c r="A17" s="338"/>
      <c r="B17" s="7"/>
      <c r="C17" s="1092"/>
      <c r="D17" s="1218"/>
      <c r="E17" s="1077"/>
      <c r="F17" s="1077"/>
      <c r="G17" s="459" t="s">
        <v>752</v>
      </c>
      <c r="H17" s="476">
        <v>0</v>
      </c>
      <c r="I17" s="166" t="s">
        <v>533</v>
      </c>
      <c r="J17" s="166" t="s">
        <v>534</v>
      </c>
      <c r="K17" s="167">
        <v>1</v>
      </c>
      <c r="L17" s="166" t="s">
        <v>535</v>
      </c>
      <c r="M17" s="166" t="s">
        <v>534</v>
      </c>
      <c r="N17" s="167">
        <v>6</v>
      </c>
      <c r="O17" s="166" t="s">
        <v>536</v>
      </c>
      <c r="P17" s="168" t="s">
        <v>537</v>
      </c>
      <c r="Q17" s="341">
        <f>H17*K17*N17</f>
        <v>0</v>
      </c>
      <c r="R17" s="405"/>
      <c r="S17" s="285"/>
      <c r="T17" s="285"/>
    </row>
    <row r="18" spans="1:20" s="2" customFormat="1" ht="23.25" customHeight="1">
      <c r="A18" s="338"/>
      <c r="B18" s="7"/>
      <c r="C18" s="1092"/>
      <c r="D18" s="1218"/>
      <c r="E18" s="1077"/>
      <c r="F18" s="1077"/>
      <c r="G18" s="459" t="s">
        <v>750</v>
      </c>
      <c r="H18" s="476">
        <v>1800000</v>
      </c>
      <c r="I18" s="166" t="s">
        <v>533</v>
      </c>
      <c r="J18" s="166" t="s">
        <v>534</v>
      </c>
      <c r="K18" s="167">
        <v>2</v>
      </c>
      <c r="L18" s="166" t="s">
        <v>535</v>
      </c>
      <c r="M18" s="166" t="s">
        <v>534</v>
      </c>
      <c r="N18" s="167">
        <v>6</v>
      </c>
      <c r="O18" s="166" t="s">
        <v>536</v>
      </c>
      <c r="P18" s="168" t="s">
        <v>537</v>
      </c>
      <c r="Q18" s="341">
        <f>H18*K18*N18</f>
        <v>21600000</v>
      </c>
      <c r="R18" s="405"/>
      <c r="S18" s="285"/>
      <c r="T18" s="285"/>
    </row>
    <row r="19" spans="1:20" s="2" customFormat="1" ht="23.25" customHeight="1">
      <c r="A19" s="338"/>
      <c r="B19" s="7"/>
      <c r="C19" s="1092"/>
      <c r="D19" s="1218"/>
      <c r="E19" s="1077"/>
      <c r="F19" s="1077"/>
      <c r="G19" s="164" t="s">
        <v>753</v>
      </c>
      <c r="H19" s="476">
        <v>0</v>
      </c>
      <c r="I19" s="166" t="s">
        <v>533</v>
      </c>
      <c r="J19" s="166" t="s">
        <v>534</v>
      </c>
      <c r="K19" s="167">
        <v>0</v>
      </c>
      <c r="L19" s="166" t="s">
        <v>535</v>
      </c>
      <c r="M19" s="166" t="s">
        <v>534</v>
      </c>
      <c r="N19" s="167">
        <v>0</v>
      </c>
      <c r="O19" s="166" t="s">
        <v>20</v>
      </c>
      <c r="P19" s="168" t="s">
        <v>537</v>
      </c>
      <c r="Q19" s="341">
        <f>H19*K19*N19</f>
        <v>0</v>
      </c>
      <c r="R19" s="405"/>
      <c r="S19" s="285"/>
      <c r="T19" s="285"/>
    </row>
    <row r="20" spans="1:20" s="2" customFormat="1" ht="23.25" customHeight="1">
      <c r="A20" s="338"/>
      <c r="B20" s="7"/>
      <c r="C20" s="1093"/>
      <c r="D20" s="1219"/>
      <c r="E20" s="1078"/>
      <c r="F20" s="1078"/>
      <c r="G20" s="164" t="s">
        <v>538</v>
      </c>
      <c r="H20" s="165">
        <v>0</v>
      </c>
      <c r="I20" s="166" t="s">
        <v>526</v>
      </c>
      <c r="J20" s="166" t="s">
        <v>527</v>
      </c>
      <c r="K20" s="167">
        <v>0</v>
      </c>
      <c r="L20" s="166" t="s">
        <v>528</v>
      </c>
      <c r="M20" s="166" t="s">
        <v>527</v>
      </c>
      <c r="N20" s="167">
        <v>0</v>
      </c>
      <c r="O20" s="166" t="s">
        <v>539</v>
      </c>
      <c r="P20" s="168" t="s">
        <v>540</v>
      </c>
      <c r="Q20" s="341">
        <f>H20*K20*N20</f>
        <v>0</v>
      </c>
      <c r="R20" s="405"/>
      <c r="S20" s="285"/>
      <c r="T20" s="285"/>
    </row>
    <row r="21" spans="1:20" s="2" customFormat="1" ht="23.25" customHeight="1">
      <c r="A21" s="338"/>
      <c r="B21" s="7"/>
      <c r="C21" s="1106" t="s">
        <v>541</v>
      </c>
      <c r="D21" s="1063">
        <v>0</v>
      </c>
      <c r="E21" s="1063">
        <f>Q21</f>
        <v>0</v>
      </c>
      <c r="F21" s="1063">
        <f>E21-D21</f>
        <v>0</v>
      </c>
      <c r="G21" s="160" t="s">
        <v>542</v>
      </c>
      <c r="H21" s="169"/>
      <c r="I21" s="170"/>
      <c r="J21" s="170"/>
      <c r="K21" s="170"/>
      <c r="L21" s="170"/>
      <c r="M21" s="170"/>
      <c r="N21" s="170"/>
      <c r="O21" s="170"/>
      <c r="P21" s="163" t="s">
        <v>543</v>
      </c>
      <c r="Q21" s="395">
        <f>SUM(Q22:Q22)</f>
        <v>0</v>
      </c>
      <c r="R21" s="408"/>
      <c r="S21" s="287">
        <f>Q21</f>
        <v>0</v>
      </c>
      <c r="T21" s="285"/>
    </row>
    <row r="22" spans="1:20" s="2" customFormat="1" ht="23.25" customHeight="1">
      <c r="A22" s="338"/>
      <c r="B22" s="7"/>
      <c r="C22" s="1066"/>
      <c r="D22" s="1078"/>
      <c r="E22" s="1078"/>
      <c r="F22" s="1078"/>
      <c r="G22" s="164" t="s">
        <v>544</v>
      </c>
      <c r="H22" s="171">
        <v>0</v>
      </c>
      <c r="I22" s="166" t="s">
        <v>526</v>
      </c>
      <c r="J22" s="166" t="s">
        <v>527</v>
      </c>
      <c r="K22" s="167">
        <v>0</v>
      </c>
      <c r="L22" s="166" t="s">
        <v>528</v>
      </c>
      <c r="M22" s="166" t="s">
        <v>527</v>
      </c>
      <c r="N22" s="167">
        <v>0</v>
      </c>
      <c r="O22" s="166" t="s">
        <v>545</v>
      </c>
      <c r="P22" s="168" t="s">
        <v>540</v>
      </c>
      <c r="Q22" s="341">
        <f>H22*K22*N22</f>
        <v>0</v>
      </c>
      <c r="R22" s="405"/>
      <c r="S22" s="285"/>
      <c r="T22" s="285"/>
    </row>
    <row r="23" spans="1:20" s="2" customFormat="1" ht="23.25" customHeight="1">
      <c r="A23" s="338"/>
      <c r="B23" s="7"/>
      <c r="C23" s="1106" t="s">
        <v>546</v>
      </c>
      <c r="D23" s="1063">
        <v>0</v>
      </c>
      <c r="E23" s="1063">
        <f>Q23</f>
        <v>0</v>
      </c>
      <c r="F23" s="1063">
        <f>E23-D23</f>
        <v>0</v>
      </c>
      <c r="G23" s="160" t="s">
        <v>547</v>
      </c>
      <c r="H23" s="169"/>
      <c r="I23" s="170"/>
      <c r="J23" s="170"/>
      <c r="K23" s="170"/>
      <c r="L23" s="170"/>
      <c r="M23" s="170"/>
      <c r="N23" s="170"/>
      <c r="O23" s="170"/>
      <c r="P23" s="163" t="s">
        <v>548</v>
      </c>
      <c r="Q23" s="395">
        <f>SUM(Q24:Q24)</f>
        <v>0</v>
      </c>
      <c r="R23" s="408"/>
      <c r="S23" s="287">
        <f>Q23</f>
        <v>0</v>
      </c>
      <c r="T23" s="285"/>
    </row>
    <row r="24" spans="1:20" s="2" customFormat="1" ht="23.25" customHeight="1">
      <c r="A24" s="338"/>
      <c r="B24" s="7"/>
      <c r="C24" s="1073"/>
      <c r="D24" s="1078"/>
      <c r="E24" s="1078"/>
      <c r="F24" s="1078"/>
      <c r="G24" s="164" t="s">
        <v>549</v>
      </c>
      <c r="H24" s="165">
        <v>0</v>
      </c>
      <c r="I24" s="166" t="s">
        <v>526</v>
      </c>
      <c r="J24" s="166" t="s">
        <v>527</v>
      </c>
      <c r="K24" s="167">
        <v>0</v>
      </c>
      <c r="L24" s="166" t="s">
        <v>528</v>
      </c>
      <c r="M24" s="166" t="s">
        <v>527</v>
      </c>
      <c r="N24" s="167">
        <v>0</v>
      </c>
      <c r="O24" s="166" t="s">
        <v>539</v>
      </c>
      <c r="P24" s="168" t="s">
        <v>540</v>
      </c>
      <c r="Q24" s="341">
        <f>H24*K24*N24</f>
        <v>0</v>
      </c>
      <c r="R24" s="405"/>
      <c r="S24" s="285"/>
      <c r="T24" s="285"/>
    </row>
    <row r="25" spans="1:20" s="2" customFormat="1" ht="30.75" customHeight="1">
      <c r="A25" s="338"/>
      <c r="B25" s="7"/>
      <c r="C25" s="315" t="s">
        <v>550</v>
      </c>
      <c r="D25" s="848">
        <v>0</v>
      </c>
      <c r="E25" s="784">
        <f>Q25</f>
        <v>3975000</v>
      </c>
      <c r="F25" s="784">
        <f>E25-D25</f>
        <v>3975000</v>
      </c>
      <c r="G25" s="5" t="s">
        <v>551</v>
      </c>
      <c r="H25" s="481"/>
      <c r="I25" s="172"/>
      <c r="J25" s="172"/>
      <c r="K25" s="172"/>
      <c r="L25" s="172"/>
      <c r="M25" s="172"/>
      <c r="N25" s="172"/>
      <c r="O25" s="172"/>
      <c r="P25" s="159"/>
      <c r="Q25" s="626">
        <f>Q26+Q27</f>
        <v>3975000</v>
      </c>
      <c r="R25" s="408"/>
      <c r="S25" s="287">
        <f>Q25</f>
        <v>3975000</v>
      </c>
      <c r="T25" s="285"/>
    </row>
    <row r="26" spans="1:20" s="2" customFormat="1" ht="30.75" customHeight="1">
      <c r="A26" s="338"/>
      <c r="B26" s="7"/>
      <c r="C26" s="315"/>
      <c r="D26" s="848">
        <v>0</v>
      </c>
      <c r="E26" s="784"/>
      <c r="F26" s="784"/>
      <c r="G26" s="768" t="s">
        <v>552</v>
      </c>
      <c r="H26" s="1000">
        <f>Q9/6/12</f>
        <v>208333.33333333334</v>
      </c>
      <c r="I26" s="172" t="s">
        <v>526</v>
      </c>
      <c r="J26" s="172" t="s">
        <v>32</v>
      </c>
      <c r="K26" s="172">
        <v>1</v>
      </c>
      <c r="L26" s="172"/>
      <c r="M26" s="172" t="s">
        <v>32</v>
      </c>
      <c r="N26" s="172">
        <v>6</v>
      </c>
      <c r="O26" s="172" t="s">
        <v>539</v>
      </c>
      <c r="P26" s="159" t="s">
        <v>540</v>
      </c>
      <c r="Q26" s="769">
        <f>N26*H26</f>
        <v>1250000</v>
      </c>
      <c r="R26" s="408"/>
      <c r="S26" s="287"/>
      <c r="T26" s="285"/>
    </row>
    <row r="27" spans="1:20" s="2" customFormat="1" ht="30.75" customHeight="1">
      <c r="A27" s="338"/>
      <c r="B27" s="7"/>
      <c r="C27" s="315"/>
      <c r="D27" s="848">
        <v>0</v>
      </c>
      <c r="E27" s="784"/>
      <c r="F27" s="784"/>
      <c r="G27" s="768" t="s">
        <v>553</v>
      </c>
      <c r="H27" s="1000">
        <f>Q15/6/12</f>
        <v>454166.66666666669</v>
      </c>
      <c r="I27" s="172" t="s">
        <v>526</v>
      </c>
      <c r="J27" s="172" t="s">
        <v>32</v>
      </c>
      <c r="K27" s="172">
        <v>1</v>
      </c>
      <c r="L27" s="172"/>
      <c r="M27" s="172" t="s">
        <v>32</v>
      </c>
      <c r="N27" s="172">
        <v>6</v>
      </c>
      <c r="O27" s="172" t="s">
        <v>539</v>
      </c>
      <c r="P27" s="159" t="s">
        <v>540</v>
      </c>
      <c r="Q27" s="769">
        <f>N27*H27</f>
        <v>2725000</v>
      </c>
      <c r="R27" s="408"/>
      <c r="S27" s="287"/>
      <c r="T27" s="285"/>
    </row>
    <row r="28" spans="1:20" s="2" customFormat="1" ht="30.75" customHeight="1">
      <c r="A28" s="338"/>
      <c r="B28" s="7"/>
      <c r="C28" s="265" t="s">
        <v>554</v>
      </c>
      <c r="D28" s="785">
        <v>0</v>
      </c>
      <c r="E28" s="785">
        <f>Q28</f>
        <v>4716021.4874999998</v>
      </c>
      <c r="F28" s="785">
        <f>E28-D28</f>
        <v>4716021.4874999998</v>
      </c>
      <c r="G28" s="627" t="s">
        <v>555</v>
      </c>
      <c r="H28" s="622"/>
      <c r="I28" s="172"/>
      <c r="J28" s="172"/>
      <c r="K28" s="172"/>
      <c r="L28" s="172"/>
      <c r="M28" s="172"/>
      <c r="N28" s="172"/>
      <c r="O28" s="172"/>
      <c r="P28" s="159"/>
      <c r="Q28" s="626">
        <f>Q29+Q30</f>
        <v>4716021.4874999998</v>
      </c>
      <c r="R28" s="408"/>
      <c r="S28" s="287">
        <f>Q28</f>
        <v>4716021.4874999998</v>
      </c>
      <c r="T28" s="285"/>
    </row>
    <row r="29" spans="1:20" s="2" customFormat="1" ht="30.75" customHeight="1">
      <c r="A29" s="338"/>
      <c r="B29" s="7"/>
      <c r="C29" s="265"/>
      <c r="D29" s="785">
        <v>0</v>
      </c>
      <c r="E29" s="785"/>
      <c r="F29" s="785"/>
      <c r="G29" s="1221" t="s">
        <v>556</v>
      </c>
      <c r="H29" s="1222"/>
      <c r="I29" s="172"/>
      <c r="J29" s="172"/>
      <c r="K29" s="172"/>
      <c r="L29" s="172"/>
      <c r="M29" s="172"/>
      <c r="N29" s="172"/>
      <c r="O29" s="172"/>
      <c r="P29" s="159"/>
      <c r="Q29" s="769">
        <f>Q32+Q33+Q36+Q39+Q40+Q44+Q49+Q45+Q50</f>
        <v>1483025.625</v>
      </c>
      <c r="R29" s="408"/>
      <c r="S29" s="287"/>
      <c r="T29" s="285"/>
    </row>
    <row r="30" spans="1:20" s="2" customFormat="1" ht="30.75" customHeight="1">
      <c r="A30" s="338"/>
      <c r="B30" s="7"/>
      <c r="C30" s="265"/>
      <c r="D30" s="785">
        <v>0</v>
      </c>
      <c r="E30" s="785"/>
      <c r="F30" s="785"/>
      <c r="G30" s="1221" t="s">
        <v>531</v>
      </c>
      <c r="H30" s="1222"/>
      <c r="I30" s="172"/>
      <c r="J30" s="172"/>
      <c r="K30" s="172"/>
      <c r="L30" s="172"/>
      <c r="M30" s="172"/>
      <c r="N30" s="172"/>
      <c r="O30" s="172"/>
      <c r="P30" s="159"/>
      <c r="Q30" s="769">
        <f>Q34+Q37+Q41+Q46+Q51</f>
        <v>3232995.8624999998</v>
      </c>
      <c r="R30" s="408"/>
      <c r="S30" s="287"/>
      <c r="T30" s="285"/>
    </row>
    <row r="31" spans="1:20" s="2" customFormat="1" ht="23.25" customHeight="1">
      <c r="A31" s="338"/>
      <c r="B31" s="7"/>
      <c r="C31" s="265"/>
      <c r="D31" s="785">
        <v>0</v>
      </c>
      <c r="E31" s="785"/>
      <c r="F31" s="785"/>
      <c r="G31" s="173" t="s">
        <v>557</v>
      </c>
      <c r="H31" s="169"/>
      <c r="I31" s="170"/>
      <c r="J31" s="170"/>
      <c r="K31" s="170"/>
      <c r="L31" s="170"/>
      <c r="M31" s="170"/>
      <c r="N31" s="170"/>
      <c r="O31" s="170"/>
      <c r="P31" s="163" t="s">
        <v>540</v>
      </c>
      <c r="Q31" s="623">
        <f>SUM(Q32:Q37)</f>
        <v>1753851.4875</v>
      </c>
      <c r="R31" s="408"/>
      <c r="S31" s="287"/>
      <c r="T31" s="285"/>
    </row>
    <row r="32" spans="1:20" s="2" customFormat="1" ht="23.25" customHeight="1">
      <c r="A32" s="338"/>
      <c r="B32" s="7"/>
      <c r="C32" s="7"/>
      <c r="D32" s="786">
        <v>0</v>
      </c>
      <c r="E32" s="786"/>
      <c r="F32" s="786"/>
      <c r="G32" s="174" t="s">
        <v>558</v>
      </c>
      <c r="H32" s="171">
        <f>H10</f>
        <v>2500000</v>
      </c>
      <c r="I32" s="175" t="s">
        <v>533</v>
      </c>
      <c r="J32" s="176" t="s">
        <v>534</v>
      </c>
      <c r="K32" s="1220">
        <v>3.3349999999999998E-2</v>
      </c>
      <c r="L32" s="1220"/>
      <c r="M32" s="175" t="s">
        <v>534</v>
      </c>
      <c r="N32" s="177">
        <v>6</v>
      </c>
      <c r="O32" s="175" t="s">
        <v>20</v>
      </c>
      <c r="P32" s="178" t="s">
        <v>559</v>
      </c>
      <c r="Q32" s="624">
        <f t="shared" ref="Q32:Q37" si="0">H32*K32*N32</f>
        <v>500250</v>
      </c>
      <c r="R32" s="405"/>
      <c r="S32" s="285"/>
      <c r="T32" s="285"/>
    </row>
    <row r="33" spans="1:22" s="2" customFormat="1" ht="23.25" customHeight="1">
      <c r="A33" s="338"/>
      <c r="B33" s="7"/>
      <c r="C33" s="7"/>
      <c r="D33" s="786">
        <v>0</v>
      </c>
      <c r="E33" s="786"/>
      <c r="F33" s="786"/>
      <c r="G33" s="174" t="s">
        <v>560</v>
      </c>
      <c r="H33" s="171">
        <f>SUM(Q11:Q14)/9</f>
        <v>0</v>
      </c>
      <c r="I33" s="175" t="s">
        <v>533</v>
      </c>
      <c r="J33" s="176" t="s">
        <v>534</v>
      </c>
      <c r="K33" s="1220">
        <f>K32</f>
        <v>3.3349999999999998E-2</v>
      </c>
      <c r="L33" s="1220"/>
      <c r="M33" s="175" t="s">
        <v>534</v>
      </c>
      <c r="N33" s="177">
        <v>6</v>
      </c>
      <c r="O33" s="175" t="s">
        <v>20</v>
      </c>
      <c r="P33" s="178" t="s">
        <v>559</v>
      </c>
      <c r="Q33" s="624">
        <f>H33*K33*N33</f>
        <v>0</v>
      </c>
      <c r="R33" s="405"/>
      <c r="S33" s="285"/>
      <c r="T33" s="285"/>
    </row>
    <row r="34" spans="1:22" s="2" customFormat="1" ht="23.25" customHeight="1">
      <c r="A34" s="338"/>
      <c r="B34" s="7"/>
      <c r="C34" s="7"/>
      <c r="D34" s="786">
        <v>0</v>
      </c>
      <c r="E34" s="786"/>
      <c r="F34" s="786"/>
      <c r="G34" s="174" t="s">
        <v>561</v>
      </c>
      <c r="H34" s="171">
        <f>Q15/6</f>
        <v>5450000</v>
      </c>
      <c r="I34" s="175" t="s">
        <v>526</v>
      </c>
      <c r="J34" s="176" t="s">
        <v>527</v>
      </c>
      <c r="K34" s="1220">
        <f>K32</f>
        <v>3.3349999999999998E-2</v>
      </c>
      <c r="L34" s="1220"/>
      <c r="M34" s="175" t="s">
        <v>527</v>
      </c>
      <c r="N34" s="177">
        <v>6</v>
      </c>
      <c r="O34" s="175" t="s">
        <v>20</v>
      </c>
      <c r="P34" s="178" t="s">
        <v>540</v>
      </c>
      <c r="Q34" s="624">
        <f t="shared" si="0"/>
        <v>1090545</v>
      </c>
      <c r="R34" s="405"/>
      <c r="S34" s="285"/>
      <c r="T34" s="285"/>
    </row>
    <row r="35" spans="1:22" s="2" customFormat="1" ht="23.25" customHeight="1">
      <c r="A35" s="338"/>
      <c r="B35" s="7"/>
      <c r="C35" s="7"/>
      <c r="D35" s="786">
        <v>0</v>
      </c>
      <c r="E35" s="786"/>
      <c r="F35" s="786"/>
      <c r="G35" s="174" t="s">
        <v>562</v>
      </c>
      <c r="H35" s="171">
        <f>Q23/12</f>
        <v>0</v>
      </c>
      <c r="I35" s="175" t="s">
        <v>520</v>
      </c>
      <c r="J35" s="176" t="s">
        <v>521</v>
      </c>
      <c r="K35" s="1220">
        <f>K32</f>
        <v>3.3349999999999998E-2</v>
      </c>
      <c r="L35" s="1220"/>
      <c r="M35" s="157"/>
      <c r="N35" s="177">
        <v>0</v>
      </c>
      <c r="O35" s="175" t="s">
        <v>20</v>
      </c>
      <c r="P35" s="178" t="s">
        <v>548</v>
      </c>
      <c r="Q35" s="624">
        <f t="shared" si="0"/>
        <v>0</v>
      </c>
      <c r="R35" s="405"/>
      <c r="S35" s="285"/>
      <c r="T35" s="285"/>
    </row>
    <row r="36" spans="1:22" s="2" customFormat="1" ht="23.25" customHeight="1">
      <c r="A36" s="338"/>
      <c r="B36" s="7"/>
      <c r="C36" s="7"/>
      <c r="D36" s="786">
        <v>0</v>
      </c>
      <c r="E36" s="786"/>
      <c r="F36" s="786"/>
      <c r="G36" s="280" t="s">
        <v>563</v>
      </c>
      <c r="H36" s="171">
        <f>(Q32+Q33+Q35)/6</f>
        <v>83375</v>
      </c>
      <c r="I36" s="175" t="s">
        <v>520</v>
      </c>
      <c r="J36" s="176" t="s">
        <v>521</v>
      </c>
      <c r="K36" s="1223">
        <v>0.10249999999999999</v>
      </c>
      <c r="L36" s="1223"/>
      <c r="M36" s="175" t="s">
        <v>521</v>
      </c>
      <c r="N36" s="177">
        <v>6</v>
      </c>
      <c r="O36" s="175" t="s">
        <v>20</v>
      </c>
      <c r="P36" s="178" t="s">
        <v>548</v>
      </c>
      <c r="Q36" s="624">
        <f t="shared" si="0"/>
        <v>51275.625</v>
      </c>
      <c r="R36" s="405"/>
      <c r="S36" s="285"/>
      <c r="T36" s="285"/>
    </row>
    <row r="37" spans="1:22" s="2" customFormat="1" ht="23.25" customHeight="1">
      <c r="A37" s="338"/>
      <c r="B37" s="7"/>
      <c r="C37" s="7"/>
      <c r="D37" s="786">
        <v>0</v>
      </c>
      <c r="E37" s="786"/>
      <c r="F37" s="786"/>
      <c r="G37" s="280" t="s">
        <v>564</v>
      </c>
      <c r="H37" s="171">
        <f>(Q34)/6</f>
        <v>181757.5</v>
      </c>
      <c r="I37" s="175" t="s">
        <v>526</v>
      </c>
      <c r="J37" s="176" t="s">
        <v>527</v>
      </c>
      <c r="K37" s="1223">
        <v>0.10249999999999999</v>
      </c>
      <c r="L37" s="1223"/>
      <c r="M37" s="175" t="s">
        <v>527</v>
      </c>
      <c r="N37" s="177">
        <v>6</v>
      </c>
      <c r="O37" s="175" t="s">
        <v>20</v>
      </c>
      <c r="P37" s="178" t="s">
        <v>540</v>
      </c>
      <c r="Q37" s="624">
        <f t="shared" si="0"/>
        <v>111780.86249999999</v>
      </c>
      <c r="R37" s="405"/>
      <c r="S37" s="285"/>
      <c r="T37" s="285"/>
    </row>
    <row r="38" spans="1:22" s="2" customFormat="1" ht="23.25" customHeight="1">
      <c r="A38" s="338"/>
      <c r="B38" s="7"/>
      <c r="C38" s="7"/>
      <c r="D38" s="786">
        <v>0</v>
      </c>
      <c r="E38" s="786"/>
      <c r="F38" s="786"/>
      <c r="G38" s="179" t="s">
        <v>565</v>
      </c>
      <c r="H38" s="180"/>
      <c r="I38" s="181"/>
      <c r="J38" s="181"/>
      <c r="K38" s="182"/>
      <c r="L38" s="181"/>
      <c r="M38" s="175"/>
      <c r="N38" s="181"/>
      <c r="O38" s="181"/>
      <c r="P38" s="178" t="s">
        <v>540</v>
      </c>
      <c r="Q38" s="624">
        <f>SUM(Q39:Q42)</f>
        <v>2146500</v>
      </c>
      <c r="R38" s="408"/>
      <c r="S38" s="287"/>
      <c r="T38" s="285"/>
    </row>
    <row r="39" spans="1:22" s="2" customFormat="1" ht="23.25" customHeight="1">
      <c r="A39" s="338"/>
      <c r="B39" s="7"/>
      <c r="C39" s="7"/>
      <c r="D39" s="786">
        <v>0</v>
      </c>
      <c r="E39" s="786"/>
      <c r="F39" s="786"/>
      <c r="G39" s="174" t="s">
        <v>558</v>
      </c>
      <c r="H39" s="171">
        <f>H32</f>
        <v>2500000</v>
      </c>
      <c r="I39" s="175" t="s">
        <v>566</v>
      </c>
      <c r="J39" s="176" t="s">
        <v>567</v>
      </c>
      <c r="K39" s="1195">
        <v>4.4999999999999998E-2</v>
      </c>
      <c r="L39" s="1195"/>
      <c r="M39" s="175" t="s">
        <v>567</v>
      </c>
      <c r="N39" s="177">
        <v>6</v>
      </c>
      <c r="O39" s="175" t="s">
        <v>20</v>
      </c>
      <c r="P39" s="178" t="s">
        <v>543</v>
      </c>
      <c r="Q39" s="624">
        <f>H39*K39*N39</f>
        <v>675000</v>
      </c>
      <c r="R39" s="405"/>
      <c r="S39" s="285"/>
      <c r="T39" s="285"/>
    </row>
    <row r="40" spans="1:22" s="2" customFormat="1" ht="23.25" customHeight="1">
      <c r="A40" s="338"/>
      <c r="B40" s="7"/>
      <c r="C40" s="7"/>
      <c r="D40" s="786">
        <v>0</v>
      </c>
      <c r="E40" s="786"/>
      <c r="F40" s="786"/>
      <c r="G40" s="174" t="s">
        <v>568</v>
      </c>
      <c r="H40" s="171">
        <f>H33</f>
        <v>0</v>
      </c>
      <c r="I40" s="175" t="s">
        <v>526</v>
      </c>
      <c r="J40" s="176" t="s">
        <v>527</v>
      </c>
      <c r="K40" s="1195">
        <v>4.4999999999999998E-2</v>
      </c>
      <c r="L40" s="1195"/>
      <c r="M40" s="175" t="s">
        <v>527</v>
      </c>
      <c r="N40" s="177">
        <v>6</v>
      </c>
      <c r="O40" s="175" t="s">
        <v>20</v>
      </c>
      <c r="P40" s="178" t="s">
        <v>540</v>
      </c>
      <c r="Q40" s="624">
        <f>H40*K40*N40</f>
        <v>0</v>
      </c>
      <c r="R40" s="405"/>
      <c r="S40" s="285"/>
      <c r="T40" s="285"/>
    </row>
    <row r="41" spans="1:22" s="2" customFormat="1" ht="23.25" customHeight="1">
      <c r="A41" s="338"/>
      <c r="B41" s="7"/>
      <c r="C41" s="7"/>
      <c r="D41" s="786">
        <v>0</v>
      </c>
      <c r="E41" s="786"/>
      <c r="F41" s="786"/>
      <c r="G41" s="174" t="s">
        <v>569</v>
      </c>
      <c r="H41" s="171">
        <f>H34</f>
        <v>5450000</v>
      </c>
      <c r="I41" s="175" t="s">
        <v>533</v>
      </c>
      <c r="J41" s="176" t="s">
        <v>534</v>
      </c>
      <c r="K41" s="1195">
        <v>4.4999999999999998E-2</v>
      </c>
      <c r="L41" s="1195"/>
      <c r="M41" s="175" t="s">
        <v>534</v>
      </c>
      <c r="N41" s="177">
        <v>6</v>
      </c>
      <c r="O41" s="175" t="s">
        <v>20</v>
      </c>
      <c r="P41" s="178" t="s">
        <v>559</v>
      </c>
      <c r="Q41" s="624">
        <f>H41*K41*N41</f>
        <v>1471500</v>
      </c>
      <c r="R41" s="405"/>
      <c r="S41" s="285"/>
      <c r="T41" s="285"/>
    </row>
    <row r="42" spans="1:22" s="2" customFormat="1" ht="23.25" customHeight="1">
      <c r="A42" s="338"/>
      <c r="B42" s="7"/>
      <c r="C42" s="7"/>
      <c r="D42" s="786">
        <v>0</v>
      </c>
      <c r="E42" s="786"/>
      <c r="F42" s="786"/>
      <c r="G42" s="174" t="s">
        <v>570</v>
      </c>
      <c r="H42" s="171">
        <f>H35</f>
        <v>0</v>
      </c>
      <c r="I42" s="175" t="s">
        <v>526</v>
      </c>
      <c r="J42" s="176" t="s">
        <v>527</v>
      </c>
      <c r="K42" s="1195">
        <v>4.4999999999999998E-2</v>
      </c>
      <c r="L42" s="1195"/>
      <c r="M42" s="175" t="s">
        <v>527</v>
      </c>
      <c r="N42" s="177">
        <v>0</v>
      </c>
      <c r="O42" s="175" t="s">
        <v>20</v>
      </c>
      <c r="P42" s="178" t="s">
        <v>540</v>
      </c>
      <c r="Q42" s="624">
        <f>H42*K42*N42</f>
        <v>0</v>
      </c>
      <c r="R42" s="405"/>
      <c r="S42" s="285"/>
      <c r="T42" s="285"/>
    </row>
    <row r="43" spans="1:22" s="2" customFormat="1" ht="23.25" customHeight="1">
      <c r="A43" s="338"/>
      <c r="B43" s="7"/>
      <c r="C43" s="7"/>
      <c r="D43" s="786">
        <v>0</v>
      </c>
      <c r="E43" s="786"/>
      <c r="F43" s="786"/>
      <c r="G43" s="183" t="s">
        <v>571</v>
      </c>
      <c r="H43" s="180"/>
      <c r="I43" s="181"/>
      <c r="J43" s="181"/>
      <c r="K43" s="182"/>
      <c r="L43" s="181"/>
      <c r="M43" s="175"/>
      <c r="N43" s="181"/>
      <c r="O43" s="181"/>
      <c r="P43" s="178" t="s">
        <v>540</v>
      </c>
      <c r="Q43" s="624">
        <f>SUM(Q44:Q47)</f>
        <v>434070</v>
      </c>
      <c r="R43" s="408"/>
      <c r="S43" s="287"/>
      <c r="T43" s="285"/>
    </row>
    <row r="44" spans="1:22" s="2" customFormat="1" ht="23.25" customHeight="1">
      <c r="A44" s="338"/>
      <c r="B44" s="7"/>
      <c r="C44" s="7"/>
      <c r="D44" s="786">
        <v>0</v>
      </c>
      <c r="E44" s="786"/>
      <c r="F44" s="786"/>
      <c r="G44" s="174" t="s">
        <v>558</v>
      </c>
      <c r="H44" s="1001">
        <v>2500000</v>
      </c>
      <c r="I44" s="175" t="s">
        <v>526</v>
      </c>
      <c r="J44" s="176" t="s">
        <v>527</v>
      </c>
      <c r="K44" s="1190">
        <v>9.1000000000000004E-3</v>
      </c>
      <c r="L44" s="1190"/>
      <c r="M44" s="175" t="s">
        <v>527</v>
      </c>
      <c r="N44" s="177">
        <v>6</v>
      </c>
      <c r="O44" s="175" t="s">
        <v>20</v>
      </c>
      <c r="P44" s="178" t="s">
        <v>540</v>
      </c>
      <c r="Q44" s="624">
        <f>H44*K44*N44</f>
        <v>136500</v>
      </c>
      <c r="R44" s="405"/>
      <c r="S44" s="285"/>
      <c r="T44" s="285"/>
    </row>
    <row r="45" spans="1:22" s="2" customFormat="1" ht="23.25" customHeight="1">
      <c r="A45" s="338"/>
      <c r="B45" s="7"/>
      <c r="C45" s="7"/>
      <c r="D45" s="786">
        <v>0</v>
      </c>
      <c r="E45" s="786"/>
      <c r="F45" s="786"/>
      <c r="G45" s="174" t="s">
        <v>572</v>
      </c>
      <c r="H45" s="171">
        <f>H40</f>
        <v>0</v>
      </c>
      <c r="I45" s="175" t="s">
        <v>573</v>
      </c>
      <c r="J45" s="176" t="s">
        <v>574</v>
      </c>
      <c r="K45" s="1190">
        <v>9.1000000000000004E-3</v>
      </c>
      <c r="L45" s="1190"/>
      <c r="M45" s="175" t="s">
        <v>574</v>
      </c>
      <c r="N45" s="177">
        <v>6</v>
      </c>
      <c r="O45" s="175" t="s">
        <v>20</v>
      </c>
      <c r="P45" s="178" t="s">
        <v>575</v>
      </c>
      <c r="Q45" s="624">
        <f>H45*K45*N45</f>
        <v>0</v>
      </c>
      <c r="R45" s="405"/>
      <c r="S45" s="285"/>
      <c r="T45" s="285"/>
      <c r="V45" s="285"/>
    </row>
    <row r="46" spans="1:22" s="2" customFormat="1" ht="23.25" customHeight="1">
      <c r="A46" s="338"/>
      <c r="B46" s="7"/>
      <c r="C46" s="7"/>
      <c r="D46" s="786">
        <v>0</v>
      </c>
      <c r="E46" s="786"/>
      <c r="F46" s="786"/>
      <c r="G46" s="174" t="s">
        <v>576</v>
      </c>
      <c r="H46" s="171">
        <f>H41</f>
        <v>5450000</v>
      </c>
      <c r="I46" s="175" t="s">
        <v>526</v>
      </c>
      <c r="J46" s="176" t="s">
        <v>527</v>
      </c>
      <c r="K46" s="1190">
        <v>9.1000000000000004E-3</v>
      </c>
      <c r="L46" s="1190"/>
      <c r="M46" s="175" t="s">
        <v>527</v>
      </c>
      <c r="N46" s="177">
        <v>6</v>
      </c>
      <c r="O46" s="175" t="s">
        <v>20</v>
      </c>
      <c r="P46" s="178" t="s">
        <v>540</v>
      </c>
      <c r="Q46" s="624">
        <f>H46*K46*N46</f>
        <v>297570</v>
      </c>
      <c r="R46" s="405"/>
      <c r="S46" s="285"/>
      <c r="T46" s="285"/>
      <c r="V46" s="770"/>
    </row>
    <row r="47" spans="1:22" s="2" customFormat="1" ht="23.25" customHeight="1">
      <c r="A47" s="338"/>
      <c r="B47" s="7"/>
      <c r="C47" s="7"/>
      <c r="D47" s="786">
        <v>0</v>
      </c>
      <c r="E47" s="786"/>
      <c r="F47" s="786"/>
      <c r="G47" s="174" t="s">
        <v>577</v>
      </c>
      <c r="H47" s="171">
        <f>H35</f>
        <v>0</v>
      </c>
      <c r="I47" s="175" t="s">
        <v>578</v>
      </c>
      <c r="J47" s="176" t="s">
        <v>579</v>
      </c>
      <c r="K47" s="1190">
        <v>9.1000000000000004E-3</v>
      </c>
      <c r="L47" s="1190"/>
      <c r="M47" s="175" t="s">
        <v>579</v>
      </c>
      <c r="N47" s="177">
        <v>0</v>
      </c>
      <c r="O47" s="175" t="s">
        <v>20</v>
      </c>
      <c r="P47" s="178" t="s">
        <v>580</v>
      </c>
      <c r="Q47" s="624">
        <f>H47*K47*N47</f>
        <v>0</v>
      </c>
      <c r="R47" s="405"/>
      <c r="S47" s="285"/>
      <c r="T47" s="285"/>
    </row>
    <row r="48" spans="1:22" s="2" customFormat="1" ht="23.25" customHeight="1">
      <c r="A48" s="338"/>
      <c r="B48" s="7"/>
      <c r="C48" s="7"/>
      <c r="D48" s="786">
        <v>0</v>
      </c>
      <c r="E48" s="786"/>
      <c r="F48" s="786"/>
      <c r="G48" s="179" t="s">
        <v>581</v>
      </c>
      <c r="H48" s="180"/>
      <c r="I48" s="181"/>
      <c r="J48" s="181"/>
      <c r="K48" s="182"/>
      <c r="L48" s="181"/>
      <c r="M48" s="175"/>
      <c r="N48" s="181"/>
      <c r="O48" s="181"/>
      <c r="P48" s="178" t="s">
        <v>580</v>
      </c>
      <c r="Q48" s="624">
        <f>SUM(Q49:Q52)</f>
        <v>381600</v>
      </c>
      <c r="R48" s="408"/>
      <c r="S48" s="287"/>
      <c r="T48" s="285"/>
    </row>
    <row r="49" spans="1:20" s="2" customFormat="1" ht="23.25" customHeight="1">
      <c r="A49" s="338"/>
      <c r="B49" s="7"/>
      <c r="C49" s="7"/>
      <c r="D49" s="786">
        <v>0</v>
      </c>
      <c r="E49" s="786"/>
      <c r="F49" s="786"/>
      <c r="G49" s="174" t="s">
        <v>582</v>
      </c>
      <c r="H49" s="1001">
        <f>H44</f>
        <v>2500000</v>
      </c>
      <c r="I49" s="175" t="s">
        <v>583</v>
      </c>
      <c r="J49" s="176" t="s">
        <v>584</v>
      </c>
      <c r="K49" s="1190">
        <v>8.0000000000000002E-3</v>
      </c>
      <c r="L49" s="1190"/>
      <c r="M49" s="175" t="s">
        <v>584</v>
      </c>
      <c r="N49" s="177">
        <v>6</v>
      </c>
      <c r="O49" s="175" t="s">
        <v>20</v>
      </c>
      <c r="P49" s="178" t="s">
        <v>585</v>
      </c>
      <c r="Q49" s="624">
        <f>H49*K49*N49</f>
        <v>120000</v>
      </c>
      <c r="R49" s="405"/>
      <c r="S49" s="285"/>
      <c r="T49" s="285"/>
    </row>
    <row r="50" spans="1:20" s="2" customFormat="1" ht="23.25" customHeight="1">
      <c r="A50" s="338"/>
      <c r="B50" s="7"/>
      <c r="C50" s="7"/>
      <c r="D50" s="786">
        <v>0</v>
      </c>
      <c r="E50" s="786"/>
      <c r="F50" s="786"/>
      <c r="G50" s="174" t="s">
        <v>586</v>
      </c>
      <c r="H50" s="171">
        <f>H45</f>
        <v>0</v>
      </c>
      <c r="I50" s="175" t="s">
        <v>526</v>
      </c>
      <c r="J50" s="176" t="s">
        <v>527</v>
      </c>
      <c r="K50" s="1190">
        <v>8.0000000000000002E-3</v>
      </c>
      <c r="L50" s="1190"/>
      <c r="M50" s="175" t="s">
        <v>527</v>
      </c>
      <c r="N50" s="177">
        <v>6</v>
      </c>
      <c r="O50" s="175" t="s">
        <v>20</v>
      </c>
      <c r="P50" s="178" t="s">
        <v>540</v>
      </c>
      <c r="Q50" s="624">
        <f>H50*K50*N50</f>
        <v>0</v>
      </c>
      <c r="R50" s="405"/>
      <c r="S50" s="285"/>
      <c r="T50" s="285"/>
    </row>
    <row r="51" spans="1:20" s="2" customFormat="1" ht="23.25" customHeight="1">
      <c r="A51" s="338"/>
      <c r="B51" s="7"/>
      <c r="C51" s="7"/>
      <c r="D51" s="786">
        <v>0</v>
      </c>
      <c r="E51" s="786"/>
      <c r="F51" s="786"/>
      <c r="G51" s="174" t="s">
        <v>569</v>
      </c>
      <c r="H51" s="171">
        <f>H46</f>
        <v>5450000</v>
      </c>
      <c r="I51" s="175" t="s">
        <v>587</v>
      </c>
      <c r="J51" s="176" t="s">
        <v>588</v>
      </c>
      <c r="K51" s="1190">
        <v>8.0000000000000002E-3</v>
      </c>
      <c r="L51" s="1190"/>
      <c r="M51" s="175" t="s">
        <v>588</v>
      </c>
      <c r="N51" s="177">
        <v>6</v>
      </c>
      <c r="O51" s="175" t="s">
        <v>20</v>
      </c>
      <c r="P51" s="178" t="s">
        <v>589</v>
      </c>
      <c r="Q51" s="624">
        <f>H51*K51*N51</f>
        <v>261600</v>
      </c>
      <c r="R51" s="770"/>
      <c r="S51" s="285"/>
      <c r="T51" s="285"/>
    </row>
    <row r="52" spans="1:20" s="2" customFormat="1" ht="23.25" customHeight="1">
      <c r="A52" s="338"/>
      <c r="B52" s="7"/>
      <c r="C52" s="9"/>
      <c r="D52" s="787">
        <v>0</v>
      </c>
      <c r="E52" s="787"/>
      <c r="F52" s="787"/>
      <c r="G52" s="174" t="s">
        <v>590</v>
      </c>
      <c r="H52" s="171">
        <f>H35</f>
        <v>0</v>
      </c>
      <c r="I52" s="184" t="s">
        <v>591</v>
      </c>
      <c r="J52" s="185" t="s">
        <v>592</v>
      </c>
      <c r="K52" s="1190">
        <v>8.0000000000000002E-3</v>
      </c>
      <c r="L52" s="1190"/>
      <c r="M52" s="184" t="s">
        <v>592</v>
      </c>
      <c r="N52" s="186">
        <v>0</v>
      </c>
      <c r="O52" s="184" t="s">
        <v>20</v>
      </c>
      <c r="P52" s="187" t="s">
        <v>593</v>
      </c>
      <c r="Q52" s="625">
        <f>H52*K52*N52</f>
        <v>0</v>
      </c>
      <c r="S52" s="285"/>
      <c r="T52" s="285"/>
    </row>
    <row r="53" spans="1:20" s="2" customFormat="1" ht="23.25" customHeight="1">
      <c r="A53" s="346"/>
      <c r="B53" s="1071" t="s">
        <v>594</v>
      </c>
      <c r="C53" s="1072"/>
      <c r="D53" s="847">
        <v>0</v>
      </c>
      <c r="E53" s="782">
        <f>E54+E57+E59</f>
        <v>0</v>
      </c>
      <c r="F53" s="782">
        <f>E53-D53</f>
        <v>0</v>
      </c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628">
        <f>Q54+Q57+Q59</f>
        <v>0</v>
      </c>
      <c r="R53" s="408"/>
      <c r="S53" s="287"/>
      <c r="T53" s="285"/>
    </row>
    <row r="54" spans="1:20" s="2" customFormat="1" ht="23.25" customHeight="1">
      <c r="A54" s="338"/>
      <c r="B54" s="10"/>
      <c r="C54" s="10" t="s">
        <v>595</v>
      </c>
      <c r="D54" s="788">
        <v>0</v>
      </c>
      <c r="E54" s="788">
        <f>Q54</f>
        <v>0</v>
      </c>
      <c r="F54" s="789">
        <f>E54-D54</f>
        <v>0</v>
      </c>
      <c r="G54" s="1191" t="s">
        <v>596</v>
      </c>
      <c r="H54" s="1192"/>
      <c r="I54" s="163"/>
      <c r="J54" s="163"/>
      <c r="K54" s="163"/>
      <c r="L54" s="163"/>
      <c r="M54" s="163"/>
      <c r="N54" s="163"/>
      <c r="O54" s="163"/>
      <c r="P54" s="163" t="s">
        <v>548</v>
      </c>
      <c r="Q54" s="629">
        <f>Q55+Q56</f>
        <v>0</v>
      </c>
      <c r="R54" s="405"/>
      <c r="S54" s="287">
        <f>Q54</f>
        <v>0</v>
      </c>
      <c r="T54" s="285"/>
    </row>
    <row r="55" spans="1:20" s="2" customFormat="1" ht="23.25" customHeight="1">
      <c r="A55" s="338"/>
      <c r="B55" s="7"/>
      <c r="C55" s="7"/>
      <c r="D55" s="790">
        <v>0</v>
      </c>
      <c r="E55" s="790"/>
      <c r="F55" s="790"/>
      <c r="G55" s="190" t="s">
        <v>597</v>
      </c>
      <c r="H55" s="191">
        <v>0</v>
      </c>
      <c r="I55" s="192" t="s">
        <v>526</v>
      </c>
      <c r="J55" s="192" t="s">
        <v>527</v>
      </c>
      <c r="K55" s="193" t="s">
        <v>598</v>
      </c>
      <c r="L55" s="192" t="s">
        <v>598</v>
      </c>
      <c r="M55" s="192" t="s">
        <v>598</v>
      </c>
      <c r="N55" s="194">
        <v>0</v>
      </c>
      <c r="O55" s="192" t="s">
        <v>20</v>
      </c>
      <c r="P55" s="195" t="s">
        <v>540</v>
      </c>
      <c r="Q55" s="347">
        <f>H55*N55</f>
        <v>0</v>
      </c>
      <c r="R55" s="405"/>
      <c r="S55" s="285"/>
      <c r="T55" s="285"/>
    </row>
    <row r="56" spans="1:20" s="2" customFormat="1" ht="29.25" customHeight="1">
      <c r="A56" s="338"/>
      <c r="B56" s="7"/>
      <c r="C56" s="9"/>
      <c r="D56" s="791">
        <v>0</v>
      </c>
      <c r="E56" s="791"/>
      <c r="F56" s="791"/>
      <c r="G56" s="739" t="s">
        <v>599</v>
      </c>
      <c r="H56" s="197">
        <v>0</v>
      </c>
      <c r="I56" s="184" t="s">
        <v>526</v>
      </c>
      <c r="J56" s="184" t="s">
        <v>527</v>
      </c>
      <c r="K56" s="198" t="s">
        <v>598</v>
      </c>
      <c r="L56" s="184" t="s">
        <v>598</v>
      </c>
      <c r="M56" s="184" t="s">
        <v>598</v>
      </c>
      <c r="N56" s="186">
        <v>0</v>
      </c>
      <c r="O56" s="184" t="s">
        <v>20</v>
      </c>
      <c r="P56" s="187" t="s">
        <v>540</v>
      </c>
      <c r="Q56" s="345">
        <f>H56*N56</f>
        <v>0</v>
      </c>
      <c r="R56" s="405"/>
      <c r="S56" s="285"/>
      <c r="T56" s="285"/>
    </row>
    <row r="57" spans="1:20" s="2" customFormat="1" ht="23.25" customHeight="1">
      <c r="A57" s="338"/>
      <c r="B57" s="50"/>
      <c r="C57" s="199" t="s">
        <v>600</v>
      </c>
      <c r="D57" s="849">
        <v>0</v>
      </c>
      <c r="E57" s="792">
        <f>Q57</f>
        <v>0</v>
      </c>
      <c r="F57" s="793">
        <f>E57-D57</f>
        <v>0</v>
      </c>
      <c r="G57" s="1193" t="s">
        <v>601</v>
      </c>
      <c r="H57" s="1194"/>
      <c r="I57" s="430"/>
      <c r="J57" s="430"/>
      <c r="K57" s="430"/>
      <c r="L57" s="430"/>
      <c r="M57" s="430"/>
      <c r="N57" s="430"/>
      <c r="O57" s="430"/>
      <c r="P57" s="431" t="s">
        <v>602</v>
      </c>
      <c r="Q57" s="630">
        <f>Q58</f>
        <v>0</v>
      </c>
      <c r="R57" s="405"/>
      <c r="S57" s="287">
        <f>Q57</f>
        <v>0</v>
      </c>
      <c r="T57" s="285"/>
    </row>
    <row r="58" spans="1:20" s="2" customFormat="1" ht="23.25" customHeight="1">
      <c r="A58" s="338"/>
      <c r="B58" s="50"/>
      <c r="C58" s="202"/>
      <c r="D58" s="850">
        <v>0</v>
      </c>
      <c r="E58" s="794"/>
      <c r="F58" s="794"/>
      <c r="G58" s="432" t="s">
        <v>603</v>
      </c>
      <c r="H58" s="433">
        <v>0</v>
      </c>
      <c r="I58" s="434" t="s">
        <v>604</v>
      </c>
      <c r="J58" s="434" t="s">
        <v>605</v>
      </c>
      <c r="K58" s="435">
        <v>0</v>
      </c>
      <c r="L58" s="434" t="s">
        <v>606</v>
      </c>
      <c r="M58" s="434" t="s">
        <v>605</v>
      </c>
      <c r="N58" s="435">
        <v>0</v>
      </c>
      <c r="O58" s="434" t="s">
        <v>607</v>
      </c>
      <c r="P58" s="436" t="s">
        <v>608</v>
      </c>
      <c r="Q58" s="437">
        <f>H58*K58*N58</f>
        <v>0</v>
      </c>
      <c r="R58" s="405"/>
      <c r="S58" s="285"/>
      <c r="T58" s="285"/>
    </row>
    <row r="59" spans="1:20" s="2" customFormat="1" ht="23.25" customHeight="1">
      <c r="A59" s="348"/>
      <c r="B59" s="79"/>
      <c r="C59" s="79" t="s">
        <v>609</v>
      </c>
      <c r="D59" s="795">
        <v>0</v>
      </c>
      <c r="E59" s="795">
        <f>Q59</f>
        <v>0</v>
      </c>
      <c r="F59" s="795">
        <f>E59-D59</f>
        <v>0</v>
      </c>
      <c r="G59" s="1191" t="s">
        <v>610</v>
      </c>
      <c r="H59" s="1192"/>
      <c r="I59" s="1192"/>
      <c r="J59" s="1192"/>
      <c r="K59" s="170"/>
      <c r="L59" s="170"/>
      <c r="M59" s="170"/>
      <c r="N59" s="170"/>
      <c r="O59" s="170"/>
      <c r="P59" s="163" t="s">
        <v>559</v>
      </c>
      <c r="Q59" s="629">
        <f>Q60+Q61</f>
        <v>0</v>
      </c>
      <c r="R59" s="408"/>
      <c r="S59" s="287">
        <f>Q59</f>
        <v>0</v>
      </c>
      <c r="T59" s="285"/>
    </row>
    <row r="60" spans="1:20" s="2" customFormat="1" ht="23.25" customHeight="1">
      <c r="A60" s="338"/>
      <c r="B60" s="50"/>
      <c r="C60" s="50"/>
      <c r="D60" s="796">
        <v>0</v>
      </c>
      <c r="E60" s="796"/>
      <c r="F60" s="796"/>
      <c r="G60" s="174" t="s">
        <v>611</v>
      </c>
      <c r="H60" s="171">
        <v>0</v>
      </c>
      <c r="I60" s="175" t="s">
        <v>526</v>
      </c>
      <c r="J60" s="175" t="s">
        <v>527</v>
      </c>
      <c r="K60" s="181" t="s">
        <v>598</v>
      </c>
      <c r="L60" s="175" t="s">
        <v>598</v>
      </c>
      <c r="M60" s="175" t="s">
        <v>598</v>
      </c>
      <c r="N60" s="177">
        <v>0</v>
      </c>
      <c r="O60" s="175" t="s">
        <v>545</v>
      </c>
      <c r="P60" s="178" t="s">
        <v>540</v>
      </c>
      <c r="Q60" s="344">
        <f>H60*N60</f>
        <v>0</v>
      </c>
      <c r="R60" s="405"/>
      <c r="S60" s="285"/>
      <c r="T60" s="285"/>
    </row>
    <row r="61" spans="1:20" s="2" customFormat="1" ht="23.25" customHeight="1">
      <c r="A61" s="338"/>
      <c r="B61" s="50"/>
      <c r="C61" s="50"/>
      <c r="D61" s="796">
        <v>0</v>
      </c>
      <c r="E61" s="796"/>
      <c r="F61" s="796"/>
      <c r="G61" s="190" t="s">
        <v>612</v>
      </c>
      <c r="H61" s="191">
        <v>0</v>
      </c>
      <c r="I61" s="192" t="s">
        <v>526</v>
      </c>
      <c r="J61" s="192" t="s">
        <v>527</v>
      </c>
      <c r="K61" s="193"/>
      <c r="L61" s="192"/>
      <c r="M61" s="192" t="s">
        <v>598</v>
      </c>
      <c r="N61" s="194">
        <v>0</v>
      </c>
      <c r="O61" s="192" t="s">
        <v>545</v>
      </c>
      <c r="P61" s="195" t="s">
        <v>540</v>
      </c>
      <c r="Q61" s="347">
        <f>H61*N61</f>
        <v>0</v>
      </c>
      <c r="R61" s="405"/>
      <c r="S61" s="285"/>
      <c r="T61" s="285"/>
    </row>
    <row r="62" spans="1:20" s="2" customFormat="1" ht="23.25" customHeight="1">
      <c r="A62" s="338"/>
      <c r="B62" s="1071" t="s">
        <v>613</v>
      </c>
      <c r="C62" s="1072"/>
      <c r="D62" s="847">
        <v>0</v>
      </c>
      <c r="E62" s="782">
        <f>E63+E65+E75+E88+E93+E95</f>
        <v>30190000</v>
      </c>
      <c r="F62" s="797">
        <f>E62-D62</f>
        <v>30190000</v>
      </c>
      <c r="G62" s="264"/>
      <c r="H62" s="224"/>
      <c r="I62" s="156"/>
      <c r="J62" s="156"/>
      <c r="K62" s="156"/>
      <c r="L62" s="156"/>
      <c r="M62" s="156"/>
      <c r="N62" s="156"/>
      <c r="O62" s="1182">
        <f>Q63+Q65+Q75+Q88+Q93+Q95</f>
        <v>30190000</v>
      </c>
      <c r="P62" s="1182"/>
      <c r="Q62" s="1183"/>
      <c r="R62" s="409"/>
      <c r="S62" s="291"/>
      <c r="T62" s="285"/>
    </row>
    <row r="63" spans="1:20" s="2" customFormat="1" ht="23.25" customHeight="1">
      <c r="A63" s="338"/>
      <c r="B63" s="10"/>
      <c r="C63" s="10" t="s">
        <v>614</v>
      </c>
      <c r="D63" s="788">
        <v>0</v>
      </c>
      <c r="E63" s="788">
        <f>Q63</f>
        <v>0</v>
      </c>
      <c r="F63" s="795">
        <f>E63-D63</f>
        <v>0</v>
      </c>
      <c r="G63" s="205" t="s">
        <v>615</v>
      </c>
      <c r="H63" s="169"/>
      <c r="I63" s="170"/>
      <c r="J63" s="170"/>
      <c r="K63" s="170"/>
      <c r="L63" s="170"/>
      <c r="M63" s="170"/>
      <c r="N63" s="170"/>
      <c r="O63" s="170"/>
      <c r="P63" s="163" t="s">
        <v>602</v>
      </c>
      <c r="Q63" s="629">
        <f xml:space="preserve"> SUM(Q64)</f>
        <v>0</v>
      </c>
      <c r="R63" s="408"/>
      <c r="S63" s="287">
        <f>Q63</f>
        <v>0</v>
      </c>
      <c r="T63" s="285"/>
    </row>
    <row r="64" spans="1:20" s="2" customFormat="1" ht="23.25" customHeight="1">
      <c r="A64" s="338"/>
      <c r="B64" s="7"/>
      <c r="C64" s="7"/>
      <c r="D64" s="791">
        <v>0</v>
      </c>
      <c r="E64" s="791"/>
      <c r="F64" s="791"/>
      <c r="G64" s="196" t="s">
        <v>616</v>
      </c>
      <c r="H64" s="197">
        <v>0</v>
      </c>
      <c r="I64" s="184" t="s">
        <v>617</v>
      </c>
      <c r="J64" s="184" t="s">
        <v>618</v>
      </c>
      <c r="K64" s="198" t="s">
        <v>619</v>
      </c>
      <c r="L64" s="184" t="s">
        <v>619</v>
      </c>
      <c r="M64" s="184" t="s">
        <v>619</v>
      </c>
      <c r="N64" s="186">
        <v>0</v>
      </c>
      <c r="O64" s="184" t="s">
        <v>620</v>
      </c>
      <c r="P64" s="187" t="s">
        <v>621</v>
      </c>
      <c r="Q64" s="345">
        <f>H64*N64</f>
        <v>0</v>
      </c>
      <c r="R64" s="405"/>
      <c r="S64" s="285"/>
      <c r="T64" s="285"/>
    </row>
    <row r="65" spans="1:20" s="2" customFormat="1" ht="23.25" customHeight="1">
      <c r="A65" s="338"/>
      <c r="B65" s="7"/>
      <c r="C65" s="265" t="s">
        <v>622</v>
      </c>
      <c r="D65" s="851">
        <v>0</v>
      </c>
      <c r="E65" s="790">
        <f>Q65</f>
        <v>2280000</v>
      </c>
      <c r="F65" s="790">
        <f>E65-D65</f>
        <v>2280000</v>
      </c>
      <c r="G65" s="160" t="s">
        <v>623</v>
      </c>
      <c r="H65" s="169"/>
      <c r="I65" s="170"/>
      <c r="J65" s="170"/>
      <c r="K65" s="170"/>
      <c r="L65" s="170"/>
      <c r="M65" s="170"/>
      <c r="N65" s="170"/>
      <c r="O65" s="170"/>
      <c r="P65" s="163" t="s">
        <v>559</v>
      </c>
      <c r="Q65" s="395">
        <f>SUM(Q66:Q74)</f>
        <v>2280000</v>
      </c>
      <c r="R65" s="408"/>
      <c r="S65" s="287">
        <f>Q65</f>
        <v>2280000</v>
      </c>
      <c r="T65" s="285"/>
    </row>
    <row r="66" spans="1:20" s="2" customFormat="1" ht="23.25" customHeight="1">
      <c r="A66" s="338"/>
      <c r="B66" s="7"/>
      <c r="C66" s="7"/>
      <c r="D66" s="790">
        <v>0</v>
      </c>
      <c r="E66" s="790"/>
      <c r="F66" s="790"/>
      <c r="G66" s="207" t="s">
        <v>624</v>
      </c>
      <c r="H66" s="171">
        <v>50000</v>
      </c>
      <c r="I66" s="175" t="s">
        <v>526</v>
      </c>
      <c r="J66" s="175" t="s">
        <v>527</v>
      </c>
      <c r="K66" s="181" t="s">
        <v>598</v>
      </c>
      <c r="L66" s="175" t="s">
        <v>598</v>
      </c>
      <c r="M66" s="175" t="s">
        <v>598</v>
      </c>
      <c r="N66" s="177">
        <v>6</v>
      </c>
      <c r="O66" s="175" t="s">
        <v>545</v>
      </c>
      <c r="P66" s="178" t="s">
        <v>540</v>
      </c>
      <c r="Q66" s="344">
        <f t="shared" ref="Q66:Q74" si="1">H66*N66</f>
        <v>300000</v>
      </c>
      <c r="R66" s="405"/>
      <c r="S66" s="285"/>
      <c r="T66" s="285"/>
    </row>
    <row r="67" spans="1:20" s="2" customFormat="1" ht="23.25" customHeight="1">
      <c r="A67" s="350"/>
      <c r="B67" s="50"/>
      <c r="C67" s="7"/>
      <c r="D67" s="790">
        <v>0</v>
      </c>
      <c r="E67" s="790"/>
      <c r="F67" s="790"/>
      <c r="G67" s="174" t="s">
        <v>625</v>
      </c>
      <c r="H67" s="473">
        <v>100000</v>
      </c>
      <c r="I67" s="175" t="s">
        <v>526</v>
      </c>
      <c r="J67" s="175" t="s">
        <v>527</v>
      </c>
      <c r="K67" s="181"/>
      <c r="L67" s="175"/>
      <c r="M67" s="175"/>
      <c r="N67" s="177">
        <v>6</v>
      </c>
      <c r="O67" s="175" t="s">
        <v>545</v>
      </c>
      <c r="P67" s="178" t="s">
        <v>540</v>
      </c>
      <c r="Q67" s="344">
        <f t="shared" si="1"/>
        <v>600000</v>
      </c>
      <c r="R67" s="405"/>
      <c r="S67" s="285"/>
      <c r="T67" s="285"/>
    </row>
    <row r="68" spans="1:20" s="2" customFormat="1" ht="23.25" customHeight="1">
      <c r="A68" s="350"/>
      <c r="B68" s="50"/>
      <c r="C68" s="7"/>
      <c r="D68" s="790">
        <v>0</v>
      </c>
      <c r="E68" s="790"/>
      <c r="F68" s="790"/>
      <c r="G68" s="174" t="s">
        <v>626</v>
      </c>
      <c r="H68" s="171">
        <v>60000</v>
      </c>
      <c r="I68" s="175" t="s">
        <v>526</v>
      </c>
      <c r="J68" s="175" t="s">
        <v>527</v>
      </c>
      <c r="K68" s="181"/>
      <c r="L68" s="175"/>
      <c r="M68" s="175"/>
      <c r="N68" s="177">
        <v>6</v>
      </c>
      <c r="O68" s="175" t="s">
        <v>545</v>
      </c>
      <c r="P68" s="178" t="s">
        <v>540</v>
      </c>
      <c r="Q68" s="344">
        <f t="shared" si="1"/>
        <v>360000</v>
      </c>
      <c r="R68" s="405"/>
      <c r="S68" s="285"/>
      <c r="T68" s="285"/>
    </row>
    <row r="69" spans="1:20" s="2" customFormat="1" ht="23.25" customHeight="1">
      <c r="A69" s="350"/>
      <c r="B69" s="50"/>
      <c r="C69" s="7"/>
      <c r="D69" s="790">
        <v>0</v>
      </c>
      <c r="E69" s="790"/>
      <c r="F69" s="790"/>
      <c r="G69" s="174" t="s">
        <v>627</v>
      </c>
      <c r="H69" s="171">
        <v>0</v>
      </c>
      <c r="I69" s="175" t="s">
        <v>526</v>
      </c>
      <c r="J69" s="175" t="s">
        <v>527</v>
      </c>
      <c r="K69" s="181"/>
      <c r="L69" s="175"/>
      <c r="M69" s="175"/>
      <c r="N69" s="177">
        <v>0</v>
      </c>
      <c r="O69" s="175" t="s">
        <v>545</v>
      </c>
      <c r="P69" s="178" t="s">
        <v>540</v>
      </c>
      <c r="Q69" s="344">
        <f t="shared" si="1"/>
        <v>0</v>
      </c>
      <c r="R69" s="405"/>
      <c r="S69" s="285"/>
      <c r="T69" s="285"/>
    </row>
    <row r="70" spans="1:20" s="2" customFormat="1" ht="23.25" customHeight="1">
      <c r="A70" s="350"/>
      <c r="B70" s="50"/>
      <c r="C70" s="7"/>
      <c r="D70" s="790">
        <v>0</v>
      </c>
      <c r="E70" s="790"/>
      <c r="F70" s="790"/>
      <c r="G70" s="174" t="s">
        <v>758</v>
      </c>
      <c r="H70" s="171">
        <v>0</v>
      </c>
      <c r="I70" s="175" t="s">
        <v>526</v>
      </c>
      <c r="J70" s="175" t="s">
        <v>527</v>
      </c>
      <c r="K70" s="181"/>
      <c r="L70" s="175"/>
      <c r="M70" s="175"/>
      <c r="N70" s="177">
        <v>0</v>
      </c>
      <c r="O70" s="175" t="s">
        <v>545</v>
      </c>
      <c r="P70" s="178" t="s">
        <v>540</v>
      </c>
      <c r="Q70" s="344">
        <f>H70*N70</f>
        <v>0</v>
      </c>
      <c r="R70" s="405"/>
      <c r="S70" s="285"/>
      <c r="T70" s="285"/>
    </row>
    <row r="71" spans="1:20" s="2" customFormat="1" ht="23.25" customHeight="1">
      <c r="A71" s="350"/>
      <c r="B71" s="50"/>
      <c r="C71" s="7"/>
      <c r="D71" s="790">
        <v>0</v>
      </c>
      <c r="E71" s="790"/>
      <c r="F71" s="790"/>
      <c r="G71" s="174" t="s">
        <v>760</v>
      </c>
      <c r="H71" s="171">
        <v>300000</v>
      </c>
      <c r="I71" s="175" t="s">
        <v>526</v>
      </c>
      <c r="J71" s="175" t="s">
        <v>527</v>
      </c>
      <c r="K71" s="181"/>
      <c r="L71" s="175"/>
      <c r="M71" s="175"/>
      <c r="N71" s="177">
        <v>1</v>
      </c>
      <c r="O71" s="175" t="s">
        <v>545</v>
      </c>
      <c r="P71" s="178" t="s">
        <v>540</v>
      </c>
      <c r="Q71" s="344">
        <f t="shared" si="1"/>
        <v>300000</v>
      </c>
      <c r="R71" s="405"/>
      <c r="S71" s="285"/>
      <c r="T71" s="285"/>
    </row>
    <row r="72" spans="1:20" s="2" customFormat="1" ht="23.25" customHeight="1">
      <c r="A72" s="350"/>
      <c r="B72" s="50"/>
      <c r="C72" s="7"/>
      <c r="D72" s="790">
        <v>0</v>
      </c>
      <c r="E72" s="790"/>
      <c r="F72" s="790"/>
      <c r="G72" s="174" t="s">
        <v>761</v>
      </c>
      <c r="H72" s="171">
        <v>0</v>
      </c>
      <c r="I72" s="175" t="s">
        <v>526</v>
      </c>
      <c r="J72" s="175" t="s">
        <v>527</v>
      </c>
      <c r="K72" s="181"/>
      <c r="L72" s="175"/>
      <c r="M72" s="175"/>
      <c r="N72" s="177">
        <v>0</v>
      </c>
      <c r="O72" s="175" t="s">
        <v>545</v>
      </c>
      <c r="P72" s="178" t="s">
        <v>540</v>
      </c>
      <c r="Q72" s="344">
        <f>H72*N72</f>
        <v>0</v>
      </c>
      <c r="R72" s="405"/>
      <c r="S72" s="285"/>
      <c r="T72" s="285"/>
    </row>
    <row r="73" spans="1:20" s="2" customFormat="1" ht="23.25" customHeight="1">
      <c r="A73" s="350"/>
      <c r="B73" s="50"/>
      <c r="C73" s="7"/>
      <c r="D73" s="790">
        <v>0</v>
      </c>
      <c r="E73" s="790"/>
      <c r="F73" s="790"/>
      <c r="G73" s="174" t="s">
        <v>759</v>
      </c>
      <c r="H73" s="171">
        <v>20000</v>
      </c>
      <c r="I73" s="175" t="s">
        <v>526</v>
      </c>
      <c r="J73" s="175" t="s">
        <v>527</v>
      </c>
      <c r="K73" s="181"/>
      <c r="L73" s="175"/>
      <c r="M73" s="175"/>
      <c r="N73" s="177">
        <v>6</v>
      </c>
      <c r="O73" s="175" t="s">
        <v>545</v>
      </c>
      <c r="P73" s="178" t="s">
        <v>540</v>
      </c>
      <c r="Q73" s="344">
        <f>H73*N73</f>
        <v>120000</v>
      </c>
      <c r="R73" s="405"/>
      <c r="S73" s="285"/>
      <c r="T73" s="285"/>
    </row>
    <row r="74" spans="1:20" s="2" customFormat="1" ht="23.25" customHeight="1">
      <c r="A74" s="350"/>
      <c r="B74" s="50"/>
      <c r="C74" s="7"/>
      <c r="D74" s="790">
        <v>0</v>
      </c>
      <c r="E74" s="790"/>
      <c r="F74" s="790"/>
      <c r="G74" s="279" t="s">
        <v>818</v>
      </c>
      <c r="H74" s="477">
        <v>100000</v>
      </c>
      <c r="I74" s="192" t="s">
        <v>526</v>
      </c>
      <c r="J74" s="192" t="s">
        <v>527</v>
      </c>
      <c r="K74" s="193"/>
      <c r="L74" s="192"/>
      <c r="M74" s="192"/>
      <c r="N74" s="194">
        <v>6</v>
      </c>
      <c r="O74" s="192" t="s">
        <v>545</v>
      </c>
      <c r="P74" s="195" t="s">
        <v>540</v>
      </c>
      <c r="Q74" s="347">
        <f t="shared" si="1"/>
        <v>600000</v>
      </c>
      <c r="R74" s="405"/>
      <c r="S74" s="285"/>
      <c r="T74" s="285"/>
    </row>
    <row r="75" spans="1:20" s="2" customFormat="1" ht="23.25" customHeight="1">
      <c r="A75" s="350"/>
      <c r="B75" s="50"/>
      <c r="C75" s="1184" t="s">
        <v>628</v>
      </c>
      <c r="D75" s="852">
        <v>0</v>
      </c>
      <c r="E75" s="788">
        <f>Q75</f>
        <v>5750000</v>
      </c>
      <c r="F75" s="788">
        <f>E75-D75</f>
        <v>5750000</v>
      </c>
      <c r="G75" s="627" t="s">
        <v>629</v>
      </c>
      <c r="H75" s="649"/>
      <c r="I75" s="650"/>
      <c r="J75" s="650"/>
      <c r="K75" s="651"/>
      <c r="L75" s="650"/>
      <c r="M75" s="650"/>
      <c r="N75" s="651"/>
      <c r="O75" s="161"/>
      <c r="P75" s="163" t="s">
        <v>602</v>
      </c>
      <c r="Q75" s="395">
        <f>Q76+Q82</f>
        <v>5750000</v>
      </c>
      <c r="R75" s="405"/>
      <c r="S75" s="287">
        <f>Q75</f>
        <v>5750000</v>
      </c>
      <c r="T75" s="285"/>
    </row>
    <row r="76" spans="1:20" s="2" customFormat="1" ht="23.25" customHeight="1">
      <c r="A76" s="338"/>
      <c r="B76" s="7"/>
      <c r="C76" s="1185"/>
      <c r="D76" s="853">
        <v>0</v>
      </c>
      <c r="E76" s="790"/>
      <c r="F76" s="790"/>
      <c r="G76" s="164" t="s">
        <v>630</v>
      </c>
      <c r="H76" s="646" t="s">
        <v>631</v>
      </c>
      <c r="I76" s="166" t="s">
        <v>631</v>
      </c>
      <c r="J76" s="166" t="s">
        <v>631</v>
      </c>
      <c r="K76" s="644" t="s">
        <v>631</v>
      </c>
      <c r="L76" s="166" t="s">
        <v>631</v>
      </c>
      <c r="M76" s="166" t="s">
        <v>631</v>
      </c>
      <c r="N76" s="644" t="s">
        <v>631</v>
      </c>
      <c r="O76" s="166" t="s">
        <v>631</v>
      </c>
      <c r="P76" s="168" t="s">
        <v>632</v>
      </c>
      <c r="Q76" s="648">
        <f>SUM(Q77:Q81)</f>
        <v>750000</v>
      </c>
      <c r="R76" s="410"/>
      <c r="S76" s="287"/>
      <c r="T76" s="285"/>
    </row>
    <row r="77" spans="1:20" s="2" customFormat="1" ht="23.25" customHeight="1">
      <c r="A77" s="338"/>
      <c r="B77" s="7"/>
      <c r="C77" s="8"/>
      <c r="D77" s="853">
        <v>0</v>
      </c>
      <c r="E77" s="790"/>
      <c r="F77" s="790"/>
      <c r="G77" s="174" t="s">
        <v>633</v>
      </c>
      <c r="H77" s="209">
        <v>0</v>
      </c>
      <c r="I77" s="175" t="s">
        <v>634</v>
      </c>
      <c r="J77" s="175" t="s">
        <v>635</v>
      </c>
      <c r="K77" s="181" t="s">
        <v>631</v>
      </c>
      <c r="L77" s="175" t="s">
        <v>631</v>
      </c>
      <c r="M77" s="175" t="s">
        <v>631</v>
      </c>
      <c r="N77" s="177">
        <v>1</v>
      </c>
      <c r="O77" s="175" t="s">
        <v>636</v>
      </c>
      <c r="P77" s="178" t="s">
        <v>637</v>
      </c>
      <c r="Q77" s="344">
        <f>H77*N77</f>
        <v>0</v>
      </c>
      <c r="R77" s="411"/>
      <c r="S77" s="285"/>
      <c r="T77" s="285"/>
    </row>
    <row r="78" spans="1:20" s="2" customFormat="1" ht="23.25" customHeight="1">
      <c r="A78" s="338"/>
      <c r="B78" s="7"/>
      <c r="C78" s="8"/>
      <c r="D78" s="853">
        <v>0</v>
      </c>
      <c r="E78" s="790"/>
      <c r="F78" s="790"/>
      <c r="G78" s="279" t="s">
        <v>803</v>
      </c>
      <c r="H78" s="209">
        <v>200000</v>
      </c>
      <c r="I78" s="175" t="s">
        <v>634</v>
      </c>
      <c r="J78" s="175" t="s">
        <v>635</v>
      </c>
      <c r="K78" s="181" t="s">
        <v>631</v>
      </c>
      <c r="L78" s="175" t="s">
        <v>631</v>
      </c>
      <c r="M78" s="175" t="s">
        <v>631</v>
      </c>
      <c r="N78" s="177">
        <v>1</v>
      </c>
      <c r="O78" s="175" t="s">
        <v>638</v>
      </c>
      <c r="P78" s="178" t="s">
        <v>637</v>
      </c>
      <c r="Q78" s="344">
        <f>H78*N78</f>
        <v>200000</v>
      </c>
      <c r="R78" s="411"/>
      <c r="S78" s="285"/>
      <c r="T78" s="285"/>
    </row>
    <row r="79" spans="1:20" s="2" customFormat="1" ht="23.25" customHeight="1">
      <c r="A79" s="338"/>
      <c r="B79" s="7"/>
      <c r="C79" s="8"/>
      <c r="D79" s="853">
        <v>0</v>
      </c>
      <c r="E79" s="790"/>
      <c r="F79" s="790"/>
      <c r="G79" s="190" t="s">
        <v>289</v>
      </c>
      <c r="H79" s="209">
        <v>0</v>
      </c>
      <c r="I79" s="175" t="s">
        <v>634</v>
      </c>
      <c r="J79" s="175" t="s">
        <v>635</v>
      </c>
      <c r="K79" s="181" t="s">
        <v>631</v>
      </c>
      <c r="L79" s="175" t="s">
        <v>631</v>
      </c>
      <c r="M79" s="175" t="s">
        <v>631</v>
      </c>
      <c r="N79" s="177">
        <v>1</v>
      </c>
      <c r="O79" s="175" t="s">
        <v>638</v>
      </c>
      <c r="P79" s="178" t="s">
        <v>637</v>
      </c>
      <c r="Q79" s="344">
        <f>H79*N79</f>
        <v>0</v>
      </c>
      <c r="R79" s="411"/>
      <c r="S79" s="285"/>
      <c r="T79" s="285"/>
    </row>
    <row r="80" spans="1:20" s="2" customFormat="1" ht="23.25" customHeight="1">
      <c r="A80" s="338"/>
      <c r="B80" s="7"/>
      <c r="C80" s="8"/>
      <c r="D80" s="853">
        <v>0</v>
      </c>
      <c r="E80" s="790"/>
      <c r="F80" s="790"/>
      <c r="G80" s="190" t="s">
        <v>639</v>
      </c>
      <c r="H80" s="209">
        <v>50000</v>
      </c>
      <c r="I80" s="175" t="s">
        <v>634</v>
      </c>
      <c r="J80" s="175" t="s">
        <v>635</v>
      </c>
      <c r="K80" s="181" t="s">
        <v>631</v>
      </c>
      <c r="L80" s="175" t="s">
        <v>631</v>
      </c>
      <c r="M80" s="175" t="s">
        <v>631</v>
      </c>
      <c r="N80" s="177">
        <v>1</v>
      </c>
      <c r="O80" s="175" t="s">
        <v>638</v>
      </c>
      <c r="P80" s="178" t="s">
        <v>637</v>
      </c>
      <c r="Q80" s="344">
        <f>H80*N80</f>
        <v>50000</v>
      </c>
      <c r="R80" s="411"/>
      <c r="S80" s="285"/>
      <c r="T80" s="285"/>
    </row>
    <row r="81" spans="1:20" s="2" customFormat="1" ht="23.25" customHeight="1">
      <c r="A81" s="338"/>
      <c r="B81" s="7"/>
      <c r="C81" s="7"/>
      <c r="D81" s="790">
        <v>0</v>
      </c>
      <c r="E81" s="790"/>
      <c r="F81" s="790"/>
      <c r="G81" s="279" t="s">
        <v>640</v>
      </c>
      <c r="H81" s="209">
        <v>500000</v>
      </c>
      <c r="I81" s="175" t="s">
        <v>634</v>
      </c>
      <c r="J81" s="175" t="s">
        <v>635</v>
      </c>
      <c r="K81" s="181" t="s">
        <v>631</v>
      </c>
      <c r="L81" s="175" t="s">
        <v>631</v>
      </c>
      <c r="M81" s="175" t="s">
        <v>631</v>
      </c>
      <c r="N81" s="177">
        <v>1</v>
      </c>
      <c r="O81" s="175" t="s">
        <v>638</v>
      </c>
      <c r="P81" s="178" t="s">
        <v>637</v>
      </c>
      <c r="Q81" s="344">
        <f>H81*N81</f>
        <v>500000</v>
      </c>
      <c r="R81" s="411"/>
      <c r="S81" s="285"/>
      <c r="T81" s="285"/>
    </row>
    <row r="82" spans="1:20" s="2" customFormat="1" ht="23.25" customHeight="1">
      <c r="A82" s="338"/>
      <c r="B82" s="7"/>
      <c r="C82" s="7"/>
      <c r="D82" s="790">
        <v>0</v>
      </c>
      <c r="E82" s="790"/>
      <c r="F82" s="790"/>
      <c r="G82" s="160" t="s">
        <v>641</v>
      </c>
      <c r="H82" s="208" t="s">
        <v>631</v>
      </c>
      <c r="I82" s="161" t="s">
        <v>631</v>
      </c>
      <c r="J82" s="161" t="s">
        <v>631</v>
      </c>
      <c r="K82" s="170" t="s">
        <v>631</v>
      </c>
      <c r="L82" s="161" t="s">
        <v>631</v>
      </c>
      <c r="M82" s="161" t="s">
        <v>631</v>
      </c>
      <c r="N82" s="170" t="s">
        <v>631</v>
      </c>
      <c r="O82" s="161" t="s">
        <v>631</v>
      </c>
      <c r="P82" s="163" t="s">
        <v>632</v>
      </c>
      <c r="Q82" s="623">
        <f>SUM(Q83:Q87)</f>
        <v>5000000</v>
      </c>
      <c r="R82" s="408"/>
      <c r="S82" s="287"/>
      <c r="T82" s="285"/>
    </row>
    <row r="83" spans="1:20" s="2" customFormat="1" ht="23.25" customHeight="1">
      <c r="A83" s="338"/>
      <c r="B83" s="7"/>
      <c r="C83" s="643"/>
      <c r="D83" s="790">
        <v>0</v>
      </c>
      <c r="E83" s="790"/>
      <c r="F83" s="790"/>
      <c r="G83" s="316" t="s">
        <v>642</v>
      </c>
      <c r="H83" s="472">
        <v>200000</v>
      </c>
      <c r="I83" s="175" t="s">
        <v>634</v>
      </c>
      <c r="J83" s="175" t="s">
        <v>635</v>
      </c>
      <c r="K83" s="181" t="s">
        <v>631</v>
      </c>
      <c r="L83" s="175" t="s">
        <v>631</v>
      </c>
      <c r="M83" s="175" t="s">
        <v>631</v>
      </c>
      <c r="N83" s="177">
        <v>6</v>
      </c>
      <c r="O83" s="175" t="s">
        <v>20</v>
      </c>
      <c r="P83" s="178" t="s">
        <v>637</v>
      </c>
      <c r="Q83" s="344">
        <f>H83*N83</f>
        <v>1200000</v>
      </c>
      <c r="R83" s="405"/>
      <c r="S83" s="285"/>
      <c r="T83" s="285"/>
    </row>
    <row r="84" spans="1:20" s="2" customFormat="1" ht="23.25" customHeight="1">
      <c r="A84" s="338"/>
      <c r="B84" s="7"/>
      <c r="C84" s="643"/>
      <c r="D84" s="790">
        <v>0</v>
      </c>
      <c r="E84" s="790"/>
      <c r="F84" s="790"/>
      <c r="G84" s="316" t="s">
        <v>643</v>
      </c>
      <c r="H84" s="472">
        <v>100000</v>
      </c>
      <c r="I84" s="175" t="s">
        <v>634</v>
      </c>
      <c r="J84" s="175" t="s">
        <v>635</v>
      </c>
      <c r="K84" s="181" t="s">
        <v>631</v>
      </c>
      <c r="L84" s="175" t="s">
        <v>631</v>
      </c>
      <c r="M84" s="175" t="s">
        <v>631</v>
      </c>
      <c r="N84" s="177">
        <v>6</v>
      </c>
      <c r="O84" s="175" t="s">
        <v>20</v>
      </c>
      <c r="P84" s="178" t="s">
        <v>637</v>
      </c>
      <c r="Q84" s="344">
        <f>H84*N84</f>
        <v>600000</v>
      </c>
      <c r="R84" s="405"/>
      <c r="S84" s="285"/>
      <c r="T84" s="285"/>
    </row>
    <row r="85" spans="1:20" s="2" customFormat="1" ht="23.25" customHeight="1">
      <c r="A85" s="338"/>
      <c r="B85" s="7"/>
      <c r="C85" s="7"/>
      <c r="D85" s="790">
        <v>0</v>
      </c>
      <c r="E85" s="790"/>
      <c r="F85" s="790"/>
      <c r="G85" s="174" t="s">
        <v>33</v>
      </c>
      <c r="H85" s="472">
        <v>200000</v>
      </c>
      <c r="I85" s="175" t="s">
        <v>634</v>
      </c>
      <c r="J85" s="175" t="s">
        <v>635</v>
      </c>
      <c r="K85" s="181" t="s">
        <v>631</v>
      </c>
      <c r="L85" s="175" t="s">
        <v>631</v>
      </c>
      <c r="M85" s="175" t="s">
        <v>631</v>
      </c>
      <c r="N85" s="177">
        <v>7</v>
      </c>
      <c r="O85" s="175" t="s">
        <v>20</v>
      </c>
      <c r="P85" s="178" t="s">
        <v>637</v>
      </c>
      <c r="Q85" s="344">
        <f>H85*N85</f>
        <v>1400000</v>
      </c>
      <c r="R85" s="405"/>
      <c r="S85" s="285"/>
      <c r="T85" s="285"/>
    </row>
    <row r="86" spans="1:20" s="2" customFormat="1" ht="23.25" customHeight="1">
      <c r="A86" s="338"/>
      <c r="B86" s="7"/>
      <c r="C86" s="7"/>
      <c r="D86" s="790">
        <v>0</v>
      </c>
      <c r="E86" s="790"/>
      <c r="F86" s="790"/>
      <c r="G86" s="280" t="s">
        <v>644</v>
      </c>
      <c r="H86" s="472">
        <v>200000</v>
      </c>
      <c r="I86" s="175" t="s">
        <v>634</v>
      </c>
      <c r="J86" s="175" t="s">
        <v>635</v>
      </c>
      <c r="K86" s="181" t="s">
        <v>631</v>
      </c>
      <c r="L86" s="175" t="s">
        <v>631</v>
      </c>
      <c r="M86" s="175" t="s">
        <v>631</v>
      </c>
      <c r="N86" s="177">
        <v>7</v>
      </c>
      <c r="O86" s="175" t="s">
        <v>20</v>
      </c>
      <c r="P86" s="178" t="s">
        <v>637</v>
      </c>
      <c r="Q86" s="344">
        <f>H86*N86</f>
        <v>1400000</v>
      </c>
      <c r="R86" s="405"/>
      <c r="S86" s="285"/>
      <c r="T86" s="285"/>
    </row>
    <row r="87" spans="1:20" s="2" customFormat="1" ht="23.25" customHeight="1">
      <c r="A87" s="338"/>
      <c r="B87" s="7"/>
      <c r="C87" s="7"/>
      <c r="D87" s="790">
        <v>0</v>
      </c>
      <c r="E87" s="790"/>
      <c r="F87" s="790"/>
      <c r="G87" s="174" t="s">
        <v>645</v>
      </c>
      <c r="H87" s="472">
        <v>100000</v>
      </c>
      <c r="I87" s="175" t="s">
        <v>634</v>
      </c>
      <c r="J87" s="175" t="s">
        <v>635</v>
      </c>
      <c r="K87" s="181" t="s">
        <v>631</v>
      </c>
      <c r="L87" s="175" t="s">
        <v>631</v>
      </c>
      <c r="M87" s="175" t="s">
        <v>631</v>
      </c>
      <c r="N87" s="177">
        <v>4</v>
      </c>
      <c r="O87" s="175" t="s">
        <v>20</v>
      </c>
      <c r="P87" s="178" t="s">
        <v>637</v>
      </c>
      <c r="Q87" s="344">
        <f>H87*N87</f>
        <v>400000</v>
      </c>
      <c r="R87" s="405"/>
      <c r="S87" s="285"/>
      <c r="T87" s="285"/>
    </row>
    <row r="88" spans="1:20" s="2" customFormat="1" ht="23.25" customHeight="1">
      <c r="A88" s="338"/>
      <c r="B88" s="50"/>
      <c r="C88" s="79" t="s">
        <v>646</v>
      </c>
      <c r="D88" s="795">
        <v>0</v>
      </c>
      <c r="E88" s="795">
        <f>Q88</f>
        <v>3450000</v>
      </c>
      <c r="F88" s="788">
        <f>E88-D88</f>
        <v>3450000</v>
      </c>
      <c r="G88" s="1004" t="s">
        <v>647</v>
      </c>
      <c r="H88" s="208"/>
      <c r="I88" s="170"/>
      <c r="J88" s="170"/>
      <c r="K88" s="170"/>
      <c r="L88" s="170"/>
      <c r="M88" s="170"/>
      <c r="N88" s="170"/>
      <c r="O88" s="170"/>
      <c r="P88" s="163" t="s">
        <v>548</v>
      </c>
      <c r="Q88" s="395">
        <f>SUM(Q89:Q92)</f>
        <v>3450000</v>
      </c>
      <c r="R88" s="287"/>
      <c r="S88" s="287">
        <f>Q88</f>
        <v>3450000</v>
      </c>
      <c r="T88" s="285"/>
    </row>
    <row r="89" spans="1:20" s="2" customFormat="1" ht="23.25" customHeight="1">
      <c r="A89" s="338"/>
      <c r="B89" s="50"/>
      <c r="C89" s="50"/>
      <c r="D89" s="796">
        <v>0</v>
      </c>
      <c r="E89" s="796"/>
      <c r="F89" s="790"/>
      <c r="G89" s="1005" t="s">
        <v>648</v>
      </c>
      <c r="H89" s="472">
        <v>100000</v>
      </c>
      <c r="I89" s="175" t="s">
        <v>526</v>
      </c>
      <c r="J89" s="175" t="s">
        <v>527</v>
      </c>
      <c r="K89" s="181" t="s">
        <v>598</v>
      </c>
      <c r="L89" s="175" t="s">
        <v>598</v>
      </c>
      <c r="M89" s="175" t="s">
        <v>598</v>
      </c>
      <c r="N89" s="177">
        <v>6</v>
      </c>
      <c r="O89" s="175" t="s">
        <v>20</v>
      </c>
      <c r="P89" s="178" t="s">
        <v>540</v>
      </c>
      <c r="Q89" s="344">
        <f>H89*N89</f>
        <v>600000</v>
      </c>
      <c r="R89" s="411"/>
      <c r="S89" s="285"/>
      <c r="T89" s="285"/>
    </row>
    <row r="90" spans="1:20" s="2" customFormat="1" ht="23.25" customHeight="1">
      <c r="A90" s="338"/>
      <c r="B90" s="50"/>
      <c r="C90" s="50"/>
      <c r="D90" s="796">
        <v>0</v>
      </c>
      <c r="E90" s="796"/>
      <c r="F90" s="790"/>
      <c r="G90" s="1005" t="s">
        <v>828</v>
      </c>
      <c r="H90" s="472">
        <v>0</v>
      </c>
      <c r="I90" s="175" t="s">
        <v>0</v>
      </c>
      <c r="J90" s="175" t="s">
        <v>1</v>
      </c>
      <c r="K90" s="181" t="s">
        <v>4</v>
      </c>
      <c r="L90" s="175" t="s">
        <v>4</v>
      </c>
      <c r="M90" s="175" t="s">
        <v>4</v>
      </c>
      <c r="N90" s="177">
        <v>0</v>
      </c>
      <c r="O90" s="175" t="s">
        <v>20</v>
      </c>
      <c r="P90" s="178" t="s">
        <v>3</v>
      </c>
      <c r="Q90" s="344">
        <f>H90*N90</f>
        <v>0</v>
      </c>
      <c r="R90" s="411"/>
      <c r="S90" s="285"/>
      <c r="T90" s="285"/>
    </row>
    <row r="91" spans="1:20" s="2" customFormat="1" ht="23.25" customHeight="1">
      <c r="A91" s="338"/>
      <c r="B91" s="50"/>
      <c r="C91" s="50"/>
      <c r="D91" s="796">
        <v>0</v>
      </c>
      <c r="E91" s="796"/>
      <c r="F91" s="790"/>
      <c r="G91" s="1006" t="s">
        <v>649</v>
      </c>
      <c r="H91" s="210">
        <v>150000</v>
      </c>
      <c r="I91" s="184" t="s">
        <v>526</v>
      </c>
      <c r="J91" s="184" t="s">
        <v>527</v>
      </c>
      <c r="K91" s="198" t="s">
        <v>598</v>
      </c>
      <c r="L91" s="184" t="s">
        <v>598</v>
      </c>
      <c r="M91" s="184" t="s">
        <v>598</v>
      </c>
      <c r="N91" s="186">
        <v>3</v>
      </c>
      <c r="O91" s="184" t="s">
        <v>20</v>
      </c>
      <c r="P91" s="187" t="s">
        <v>540</v>
      </c>
      <c r="Q91" s="345">
        <f>H91*N91</f>
        <v>450000</v>
      </c>
      <c r="R91" s="411"/>
      <c r="S91" s="285"/>
      <c r="T91" s="285"/>
    </row>
    <row r="92" spans="1:20" s="2" customFormat="1" ht="23.25" customHeight="1" thickBot="1">
      <c r="A92" s="338"/>
      <c r="B92" s="50"/>
      <c r="C92" s="80"/>
      <c r="D92" s="1003"/>
      <c r="E92" s="1003"/>
      <c r="F92" s="791"/>
      <c r="G92" s="233" t="s">
        <v>796</v>
      </c>
      <c r="H92" s="489">
        <v>400000</v>
      </c>
      <c r="I92" s="466" t="s">
        <v>0</v>
      </c>
      <c r="J92" s="466" t="s">
        <v>1</v>
      </c>
      <c r="K92" s="467" t="s">
        <v>673</v>
      </c>
      <c r="L92" s="466" t="s">
        <v>673</v>
      </c>
      <c r="M92" s="466" t="s">
        <v>673</v>
      </c>
      <c r="N92" s="468">
        <v>6</v>
      </c>
      <c r="O92" s="466" t="s">
        <v>20</v>
      </c>
      <c r="P92" s="1002" t="s">
        <v>3</v>
      </c>
      <c r="Q92" s="469">
        <f t="shared" ref="Q92" si="2">H92*N92:N92</f>
        <v>2400000</v>
      </c>
      <c r="R92" s="411"/>
      <c r="S92" s="285"/>
      <c r="T92" s="285"/>
    </row>
    <row r="93" spans="1:20" s="2" customFormat="1" ht="23.25" customHeight="1">
      <c r="A93" s="338"/>
      <c r="B93" s="7"/>
      <c r="C93" s="7" t="s">
        <v>650</v>
      </c>
      <c r="D93" s="790">
        <v>0</v>
      </c>
      <c r="E93" s="790">
        <f>Q93</f>
        <v>17710000</v>
      </c>
      <c r="F93" s="790">
        <f>E93-D93</f>
        <v>17710000</v>
      </c>
      <c r="G93" s="160" t="s">
        <v>340</v>
      </c>
      <c r="H93" s="208"/>
      <c r="I93" s="170"/>
      <c r="J93" s="170"/>
      <c r="K93" s="170"/>
      <c r="L93" s="170"/>
      <c r="M93" s="170"/>
      <c r="N93" s="170"/>
      <c r="O93" s="170"/>
      <c r="P93" s="163" t="s">
        <v>3</v>
      </c>
      <c r="Q93" s="395">
        <f>SUM(Q94:Q94)</f>
        <v>17710000</v>
      </c>
      <c r="R93" s="287"/>
      <c r="S93" s="287">
        <f>Q93</f>
        <v>17710000</v>
      </c>
      <c r="T93" s="285"/>
    </row>
    <row r="94" spans="1:20" s="2" customFormat="1" ht="23.25" customHeight="1">
      <c r="A94" s="338"/>
      <c r="B94" s="7"/>
      <c r="C94" s="7"/>
      <c r="D94" s="790">
        <v>0</v>
      </c>
      <c r="E94" s="790"/>
      <c r="F94" s="790"/>
      <c r="G94" s="174" t="s">
        <v>651</v>
      </c>
      <c r="H94" s="472">
        <v>2530000</v>
      </c>
      <c r="I94" s="175" t="s">
        <v>652</v>
      </c>
      <c r="J94" s="175" t="s">
        <v>653</v>
      </c>
      <c r="K94" s="181" t="s">
        <v>654</v>
      </c>
      <c r="L94" s="175" t="s">
        <v>654</v>
      </c>
      <c r="M94" s="175" t="s">
        <v>654</v>
      </c>
      <c r="N94" s="177">
        <v>7</v>
      </c>
      <c r="O94" s="175" t="s">
        <v>20</v>
      </c>
      <c r="P94" s="178" t="s">
        <v>655</v>
      </c>
      <c r="Q94" s="344">
        <f>H94*N94</f>
        <v>17710000</v>
      </c>
      <c r="R94" s="411"/>
      <c r="S94" s="285"/>
      <c r="T94" s="285"/>
    </row>
    <row r="95" spans="1:20" s="2" customFormat="1" ht="23.25" customHeight="1">
      <c r="A95" s="350"/>
      <c r="B95" s="50"/>
      <c r="C95" s="10" t="s">
        <v>656</v>
      </c>
      <c r="D95" s="788">
        <v>0</v>
      </c>
      <c r="E95" s="788">
        <f xml:space="preserve"> Q95</f>
        <v>1000000</v>
      </c>
      <c r="F95" s="788">
        <f>E95-D95</f>
        <v>1000000</v>
      </c>
      <c r="G95" s="160" t="s">
        <v>657</v>
      </c>
      <c r="H95" s="169"/>
      <c r="I95" s="170"/>
      <c r="J95" s="170"/>
      <c r="K95" s="170"/>
      <c r="L95" s="170"/>
      <c r="M95" s="170"/>
      <c r="N95" s="170"/>
      <c r="O95" s="170"/>
      <c r="P95" s="163" t="s">
        <v>559</v>
      </c>
      <c r="Q95" s="395">
        <f>SUM(Q96:Q103)</f>
        <v>1000000</v>
      </c>
      <c r="R95" s="412"/>
      <c r="S95" s="290">
        <f>Q95</f>
        <v>1000000</v>
      </c>
      <c r="T95" s="285"/>
    </row>
    <row r="96" spans="1:20" s="2" customFormat="1" ht="23.25" customHeight="1">
      <c r="A96" s="350"/>
      <c r="B96" s="50"/>
      <c r="C96" s="7"/>
      <c r="D96" s="790">
        <v>0</v>
      </c>
      <c r="E96" s="790"/>
      <c r="F96" s="790"/>
      <c r="G96" s="174" t="s">
        <v>658</v>
      </c>
      <c r="H96" s="171">
        <v>0</v>
      </c>
      <c r="I96" s="175" t="s">
        <v>526</v>
      </c>
      <c r="J96" s="175" t="s">
        <v>527</v>
      </c>
      <c r="K96" s="181" t="s">
        <v>598</v>
      </c>
      <c r="L96" s="175" t="s">
        <v>598</v>
      </c>
      <c r="M96" s="175" t="s">
        <v>598</v>
      </c>
      <c r="N96" s="177">
        <v>0</v>
      </c>
      <c r="O96" s="175" t="s">
        <v>20</v>
      </c>
      <c r="P96" s="178" t="s">
        <v>540</v>
      </c>
      <c r="Q96" s="344">
        <f t="shared" ref="Q96:Q102" si="3">H96*N96</f>
        <v>0</v>
      </c>
      <c r="R96" s="412"/>
      <c r="S96" s="290"/>
      <c r="T96" s="285"/>
    </row>
    <row r="97" spans="1:20" s="2" customFormat="1" ht="23.25" customHeight="1">
      <c r="A97" s="350"/>
      <c r="B97" s="50"/>
      <c r="C97" s="7"/>
      <c r="D97" s="790">
        <v>0</v>
      </c>
      <c r="E97" s="790"/>
      <c r="F97" s="790"/>
      <c r="G97" s="278" t="s">
        <v>659</v>
      </c>
      <c r="H97" s="96">
        <v>100000</v>
      </c>
      <c r="I97" s="22" t="s">
        <v>526</v>
      </c>
      <c r="J97" s="22" t="s">
        <v>527</v>
      </c>
      <c r="K97" s="36">
        <v>1</v>
      </c>
      <c r="L97" s="22"/>
      <c r="M97" s="22" t="s">
        <v>527</v>
      </c>
      <c r="N97" s="25">
        <v>3</v>
      </c>
      <c r="O97" s="22" t="s">
        <v>545</v>
      </c>
      <c r="P97" s="22"/>
      <c r="Q97" s="344">
        <f>H97*N97*K97</f>
        <v>300000</v>
      </c>
      <c r="R97" s="412"/>
      <c r="S97" s="290"/>
      <c r="T97" s="285"/>
    </row>
    <row r="98" spans="1:20" s="2" customFormat="1" ht="23.25" customHeight="1">
      <c r="A98" s="350"/>
      <c r="B98" s="50"/>
      <c r="C98" s="7"/>
      <c r="D98" s="790">
        <v>0</v>
      </c>
      <c r="E98" s="790"/>
      <c r="F98" s="790"/>
      <c r="G98" s="174" t="s">
        <v>660</v>
      </c>
      <c r="H98" s="171">
        <v>0</v>
      </c>
      <c r="I98" s="175" t="s">
        <v>526</v>
      </c>
      <c r="J98" s="175" t="s">
        <v>527</v>
      </c>
      <c r="K98" s="181" t="s">
        <v>598</v>
      </c>
      <c r="L98" s="175" t="s">
        <v>598</v>
      </c>
      <c r="M98" s="175" t="s">
        <v>598</v>
      </c>
      <c r="N98" s="177">
        <v>0</v>
      </c>
      <c r="O98" s="175" t="s">
        <v>20</v>
      </c>
      <c r="P98" s="178" t="s">
        <v>540</v>
      </c>
      <c r="Q98" s="344">
        <f t="shared" si="3"/>
        <v>0</v>
      </c>
      <c r="R98" s="412"/>
      <c r="S98" s="290"/>
      <c r="T98" s="285"/>
    </row>
    <row r="99" spans="1:20" s="2" customFormat="1" ht="23.25" customHeight="1">
      <c r="A99" s="350"/>
      <c r="B99" s="50"/>
      <c r="C99" s="7"/>
      <c r="D99" s="790">
        <v>0</v>
      </c>
      <c r="E99" s="790"/>
      <c r="F99" s="790"/>
      <c r="G99" s="174" t="s">
        <v>661</v>
      </c>
      <c r="H99" s="171">
        <v>0</v>
      </c>
      <c r="I99" s="175" t="s">
        <v>526</v>
      </c>
      <c r="J99" s="175" t="s">
        <v>527</v>
      </c>
      <c r="K99" s="181" t="s">
        <v>598</v>
      </c>
      <c r="L99" s="175" t="s">
        <v>598</v>
      </c>
      <c r="M99" s="175" t="s">
        <v>598</v>
      </c>
      <c r="N99" s="177">
        <v>0</v>
      </c>
      <c r="O99" s="175" t="s">
        <v>20</v>
      </c>
      <c r="P99" s="178" t="s">
        <v>540</v>
      </c>
      <c r="Q99" s="344">
        <f t="shared" si="3"/>
        <v>0</v>
      </c>
      <c r="R99" s="412"/>
      <c r="S99" s="290"/>
      <c r="T99" s="285"/>
    </row>
    <row r="100" spans="1:20" s="2" customFormat="1" ht="23.25" customHeight="1">
      <c r="A100" s="350"/>
      <c r="B100" s="50"/>
      <c r="C100" s="7"/>
      <c r="D100" s="790">
        <v>0</v>
      </c>
      <c r="E100" s="790"/>
      <c r="F100" s="790"/>
      <c r="G100" s="174" t="s">
        <v>662</v>
      </c>
      <c r="H100" s="171">
        <v>100000</v>
      </c>
      <c r="I100" s="175" t="s">
        <v>526</v>
      </c>
      <c r="J100" s="175" t="s">
        <v>527</v>
      </c>
      <c r="K100" s="181" t="s">
        <v>598</v>
      </c>
      <c r="L100" s="175" t="s">
        <v>598</v>
      </c>
      <c r="M100" s="175" t="s">
        <v>598</v>
      </c>
      <c r="N100" s="177">
        <v>7</v>
      </c>
      <c r="O100" s="175" t="s">
        <v>20</v>
      </c>
      <c r="P100" s="178" t="s">
        <v>540</v>
      </c>
      <c r="Q100" s="344">
        <f>H100*N100</f>
        <v>700000</v>
      </c>
      <c r="R100" s="412"/>
      <c r="S100" s="290"/>
      <c r="T100" s="285"/>
    </row>
    <row r="101" spans="1:20" s="2" customFormat="1" ht="23.25" customHeight="1">
      <c r="A101" s="350"/>
      <c r="B101" s="50"/>
      <c r="C101" s="7"/>
      <c r="D101" s="790">
        <v>0</v>
      </c>
      <c r="E101" s="790"/>
      <c r="F101" s="790"/>
      <c r="G101" s="174" t="s">
        <v>663</v>
      </c>
      <c r="H101" s="171">
        <v>0</v>
      </c>
      <c r="I101" s="175" t="s">
        <v>526</v>
      </c>
      <c r="J101" s="175" t="s">
        <v>527</v>
      </c>
      <c r="K101" s="181" t="s">
        <v>598</v>
      </c>
      <c r="L101" s="175" t="s">
        <v>598</v>
      </c>
      <c r="M101" s="175" t="s">
        <v>598</v>
      </c>
      <c r="N101" s="177">
        <v>0</v>
      </c>
      <c r="O101" s="175" t="s">
        <v>20</v>
      </c>
      <c r="P101" s="178" t="s">
        <v>540</v>
      </c>
      <c r="Q101" s="344">
        <f t="shared" si="3"/>
        <v>0</v>
      </c>
      <c r="R101" s="412"/>
      <c r="S101" s="290"/>
      <c r="T101" s="285"/>
    </row>
    <row r="102" spans="1:20" s="2" customFormat="1" ht="23.25" customHeight="1">
      <c r="A102" s="350"/>
      <c r="B102" s="50"/>
      <c r="C102" s="7"/>
      <c r="D102" s="790">
        <v>0</v>
      </c>
      <c r="E102" s="790"/>
      <c r="F102" s="790"/>
      <c r="G102" s="174" t="s">
        <v>664</v>
      </c>
      <c r="H102" s="171">
        <v>0</v>
      </c>
      <c r="I102" s="175" t="s">
        <v>526</v>
      </c>
      <c r="J102" s="175" t="s">
        <v>527</v>
      </c>
      <c r="K102" s="181" t="s">
        <v>598</v>
      </c>
      <c r="L102" s="175" t="s">
        <v>598</v>
      </c>
      <c r="M102" s="175" t="s">
        <v>598</v>
      </c>
      <c r="N102" s="177">
        <v>0</v>
      </c>
      <c r="O102" s="175" t="s">
        <v>20</v>
      </c>
      <c r="P102" s="178" t="s">
        <v>540</v>
      </c>
      <c r="Q102" s="344">
        <f t="shared" si="3"/>
        <v>0</v>
      </c>
      <c r="R102" s="412"/>
      <c r="S102" s="290"/>
      <c r="T102" s="285"/>
    </row>
    <row r="103" spans="1:20" s="2" customFormat="1" ht="23.25" customHeight="1" thickBot="1">
      <c r="A103" s="351"/>
      <c r="B103" s="204"/>
      <c r="C103" s="352"/>
      <c r="D103" s="854">
        <v>0</v>
      </c>
      <c r="E103" s="798"/>
      <c r="F103" s="798"/>
      <c r="G103" s="480"/>
      <c r="H103" s="465"/>
      <c r="I103" s="466"/>
      <c r="J103" s="22"/>
      <c r="K103" s="329"/>
      <c r="L103" s="22"/>
      <c r="M103" s="22"/>
      <c r="N103" s="468"/>
      <c r="O103" s="466"/>
      <c r="P103" s="460" t="s">
        <v>540</v>
      </c>
      <c r="Q103" s="469">
        <f>H103*N103*K103</f>
        <v>0</v>
      </c>
      <c r="R103" s="405"/>
      <c r="S103" s="285"/>
      <c r="T103" s="285"/>
    </row>
    <row r="104" spans="1:20" ht="23.25" customHeight="1">
      <c r="A104" s="1144" t="s">
        <v>665</v>
      </c>
      <c r="B104" s="1135"/>
      <c r="C104" s="1135"/>
      <c r="D104" s="846">
        <v>0</v>
      </c>
      <c r="E104" s="780">
        <f>E105</f>
        <v>0</v>
      </c>
      <c r="F104" s="780">
        <f t="shared" ref="F104:F114" si="4">E104-D104</f>
        <v>0</v>
      </c>
      <c r="G104" s="354"/>
      <c r="H104" s="367"/>
      <c r="I104" s="355"/>
      <c r="J104" s="355"/>
      <c r="K104" s="356"/>
      <c r="L104" s="357"/>
      <c r="M104" s="358"/>
      <c r="N104" s="358"/>
      <c r="O104" s="358"/>
      <c r="P104" s="356"/>
      <c r="Q104" s="747">
        <f>Q105</f>
        <v>0</v>
      </c>
      <c r="R104" s="413"/>
      <c r="S104" s="748">
        <f>Q104</f>
        <v>0</v>
      </c>
      <c r="T104" s="366"/>
    </row>
    <row r="105" spans="1:20" ht="23.25" customHeight="1">
      <c r="A105" s="359"/>
      <c r="B105" s="1216" t="s">
        <v>666</v>
      </c>
      <c r="C105" s="1216"/>
      <c r="D105" s="855">
        <v>0</v>
      </c>
      <c r="E105" s="782">
        <f>SUM(E106:E112)</f>
        <v>0</v>
      </c>
      <c r="F105" s="799">
        <f t="shared" si="4"/>
        <v>0</v>
      </c>
      <c r="G105" s="158" t="s">
        <v>667</v>
      </c>
      <c r="H105" s="224"/>
      <c r="I105" s="156"/>
      <c r="J105" s="156"/>
      <c r="K105" s="156"/>
      <c r="L105" s="156"/>
      <c r="M105" s="156"/>
      <c r="N105" s="156"/>
      <c r="O105" s="156"/>
      <c r="P105" s="163"/>
      <c r="Q105" s="360">
        <f>SUM(Q106:Q112)</f>
        <v>0</v>
      </c>
      <c r="R105" s="414"/>
      <c r="S105" s="366"/>
      <c r="T105" s="366"/>
    </row>
    <row r="106" spans="1:20" ht="23.25" customHeight="1">
      <c r="A106" s="359"/>
      <c r="B106" s="751"/>
      <c r="C106" s="225" t="s">
        <v>668</v>
      </c>
      <c r="D106" s="799">
        <v>0</v>
      </c>
      <c r="E106" s="799">
        <f>Q106+Q107+Q108+Q109+Q110</f>
        <v>0</v>
      </c>
      <c r="F106" s="799">
        <f t="shared" si="4"/>
        <v>0</v>
      </c>
      <c r="G106" s="231" t="s">
        <v>787</v>
      </c>
      <c r="H106" s="488">
        <v>0</v>
      </c>
      <c r="I106" s="192" t="s">
        <v>526</v>
      </c>
      <c r="J106" s="192" t="s">
        <v>527</v>
      </c>
      <c r="K106" s="193" t="s">
        <v>598</v>
      </c>
      <c r="L106" s="192" t="s">
        <v>598</v>
      </c>
      <c r="M106" s="192" t="s">
        <v>598</v>
      </c>
      <c r="N106" s="194">
        <v>0</v>
      </c>
      <c r="O106" s="192" t="s">
        <v>20</v>
      </c>
      <c r="P106" s="195" t="s">
        <v>540</v>
      </c>
      <c r="Q106" s="361">
        <f t="shared" ref="Q106:Q112" si="5">H106*N106:N106</f>
        <v>0</v>
      </c>
      <c r="R106" s="414"/>
      <c r="S106" s="366"/>
      <c r="T106" s="366"/>
    </row>
    <row r="107" spans="1:20" ht="23.25" customHeight="1">
      <c r="A107" s="359"/>
      <c r="B107" s="751"/>
      <c r="C107" s="225"/>
      <c r="D107" s="799">
        <v>0</v>
      </c>
      <c r="E107" s="799"/>
      <c r="F107" s="799"/>
      <c r="G107" s="231" t="s">
        <v>762</v>
      </c>
      <c r="H107" s="488">
        <v>0</v>
      </c>
      <c r="I107" s="192" t="s">
        <v>526</v>
      </c>
      <c r="J107" s="192" t="s">
        <v>527</v>
      </c>
      <c r="K107" s="193" t="s">
        <v>598</v>
      </c>
      <c r="L107" s="192" t="s">
        <v>598</v>
      </c>
      <c r="M107" s="192" t="s">
        <v>598</v>
      </c>
      <c r="N107" s="194">
        <v>0</v>
      </c>
      <c r="O107" s="192" t="s">
        <v>20</v>
      </c>
      <c r="P107" s="195" t="s">
        <v>540</v>
      </c>
      <c r="Q107" s="361">
        <f t="shared" si="5"/>
        <v>0</v>
      </c>
      <c r="R107" s="414"/>
      <c r="S107" s="366"/>
      <c r="T107" s="366"/>
    </row>
    <row r="108" spans="1:20" ht="23.25" customHeight="1">
      <c r="A108" s="359"/>
      <c r="B108" s="775"/>
      <c r="C108" s="225"/>
      <c r="D108" s="799">
        <v>0</v>
      </c>
      <c r="E108" s="799"/>
      <c r="F108" s="799"/>
      <c r="G108" s="231" t="s">
        <v>763</v>
      </c>
      <c r="H108" s="488">
        <v>0</v>
      </c>
      <c r="I108" s="192" t="s">
        <v>0</v>
      </c>
      <c r="J108" s="192" t="s">
        <v>1</v>
      </c>
      <c r="K108" s="193" t="s">
        <v>4</v>
      </c>
      <c r="L108" s="192" t="s">
        <v>4</v>
      </c>
      <c r="M108" s="192" t="s">
        <v>4</v>
      </c>
      <c r="N108" s="194">
        <v>0</v>
      </c>
      <c r="O108" s="192" t="s">
        <v>20</v>
      </c>
      <c r="P108" s="195" t="s">
        <v>3</v>
      </c>
      <c r="Q108" s="361">
        <f t="shared" si="5"/>
        <v>0</v>
      </c>
      <c r="R108" s="414"/>
      <c r="S108" s="366"/>
      <c r="T108" s="366"/>
    </row>
    <row r="109" spans="1:20" ht="23.25" customHeight="1">
      <c r="A109" s="359"/>
      <c r="B109" s="775"/>
      <c r="C109" s="225"/>
      <c r="D109" s="799">
        <v>0</v>
      </c>
      <c r="E109" s="799"/>
      <c r="F109" s="799"/>
      <c r="G109" s="231" t="s">
        <v>764</v>
      </c>
      <c r="H109" s="488">
        <v>0</v>
      </c>
      <c r="I109" s="192" t="s">
        <v>0</v>
      </c>
      <c r="J109" s="192" t="s">
        <v>1</v>
      </c>
      <c r="K109" s="193" t="s">
        <v>4</v>
      </c>
      <c r="L109" s="192" t="s">
        <v>4</v>
      </c>
      <c r="M109" s="192" t="s">
        <v>4</v>
      </c>
      <c r="N109" s="194">
        <v>0</v>
      </c>
      <c r="O109" s="192" t="s">
        <v>20</v>
      </c>
      <c r="P109" s="195" t="s">
        <v>3</v>
      </c>
      <c r="Q109" s="361">
        <f t="shared" si="5"/>
        <v>0</v>
      </c>
      <c r="R109" s="414"/>
      <c r="S109" s="366"/>
      <c r="T109" s="366"/>
    </row>
    <row r="110" spans="1:20" ht="23.25" customHeight="1">
      <c r="A110" s="359"/>
      <c r="B110" s="751"/>
      <c r="C110" s="225"/>
      <c r="D110" s="799">
        <v>0</v>
      </c>
      <c r="E110" s="799"/>
      <c r="F110" s="799"/>
      <c r="G110" s="231" t="s">
        <v>669</v>
      </c>
      <c r="H110" s="488">
        <v>0</v>
      </c>
      <c r="I110" s="192" t="s">
        <v>526</v>
      </c>
      <c r="J110" s="192" t="s">
        <v>527</v>
      </c>
      <c r="K110" s="193" t="s">
        <v>598</v>
      </c>
      <c r="L110" s="192" t="s">
        <v>598</v>
      </c>
      <c r="M110" s="192" t="s">
        <v>598</v>
      </c>
      <c r="N110" s="194">
        <v>0</v>
      </c>
      <c r="O110" s="192" t="s">
        <v>20</v>
      </c>
      <c r="P110" s="195" t="s">
        <v>540</v>
      </c>
      <c r="Q110" s="361">
        <f t="shared" si="5"/>
        <v>0</v>
      </c>
      <c r="R110" s="414"/>
      <c r="S110" s="366"/>
      <c r="T110" s="366"/>
    </row>
    <row r="111" spans="1:20" ht="23.25" customHeight="1">
      <c r="A111" s="359"/>
      <c r="B111" s="751"/>
      <c r="C111" s="266" t="s">
        <v>670</v>
      </c>
      <c r="D111" s="799">
        <v>0</v>
      </c>
      <c r="E111" s="799">
        <f>Q111</f>
        <v>0</v>
      </c>
      <c r="F111" s="799">
        <f t="shared" si="4"/>
        <v>0</v>
      </c>
      <c r="G111" s="231" t="s">
        <v>246</v>
      </c>
      <c r="H111" s="209">
        <v>0</v>
      </c>
      <c r="I111" s="175" t="s">
        <v>0</v>
      </c>
      <c r="J111" s="175" t="s">
        <v>1</v>
      </c>
      <c r="K111" s="181" t="s">
        <v>4</v>
      </c>
      <c r="L111" s="175" t="s">
        <v>4</v>
      </c>
      <c r="M111" s="175" t="s">
        <v>4</v>
      </c>
      <c r="N111" s="177">
        <v>0</v>
      </c>
      <c r="O111" s="175" t="s">
        <v>20</v>
      </c>
      <c r="P111" s="178" t="s">
        <v>3</v>
      </c>
      <c r="Q111" s="344">
        <f t="shared" si="5"/>
        <v>0</v>
      </c>
      <c r="R111" s="414"/>
      <c r="S111" s="366"/>
      <c r="T111" s="366"/>
    </row>
    <row r="112" spans="1:20" ht="23.25" customHeight="1" thickBot="1">
      <c r="A112" s="362"/>
      <c r="B112" s="363"/>
      <c r="C112" s="232" t="s">
        <v>353</v>
      </c>
      <c r="D112" s="800">
        <v>0</v>
      </c>
      <c r="E112" s="800">
        <f>Q112</f>
        <v>0</v>
      </c>
      <c r="F112" s="798">
        <f t="shared" si="4"/>
        <v>0</v>
      </c>
      <c r="G112" s="233" t="s">
        <v>796</v>
      </c>
      <c r="H112" s="489">
        <v>0</v>
      </c>
      <c r="I112" s="466" t="s">
        <v>671</v>
      </c>
      <c r="J112" s="466" t="s">
        <v>672</v>
      </c>
      <c r="K112" s="467" t="s">
        <v>673</v>
      </c>
      <c r="L112" s="466" t="s">
        <v>673</v>
      </c>
      <c r="M112" s="466" t="s">
        <v>673</v>
      </c>
      <c r="N112" s="468">
        <v>6</v>
      </c>
      <c r="O112" s="466" t="s">
        <v>20</v>
      </c>
      <c r="P112" s="460" t="s">
        <v>674</v>
      </c>
      <c r="Q112" s="469">
        <f t="shared" si="5"/>
        <v>0</v>
      </c>
      <c r="R112" s="414"/>
      <c r="S112" s="366"/>
      <c r="T112" s="366"/>
    </row>
    <row r="113" spans="1:20" s="11" customFormat="1" ht="23.25" customHeight="1">
      <c r="A113" s="1173" t="s">
        <v>675</v>
      </c>
      <c r="B113" s="1174"/>
      <c r="C113" s="1175"/>
      <c r="D113" s="856">
        <v>0</v>
      </c>
      <c r="E113" s="801">
        <f>E114+E132</f>
        <v>11688000</v>
      </c>
      <c r="F113" s="801">
        <f t="shared" si="4"/>
        <v>11688000</v>
      </c>
      <c r="G113" s="15"/>
      <c r="H113" s="212"/>
      <c r="I113" s="91"/>
      <c r="J113" s="91"/>
      <c r="K113" s="91"/>
      <c r="L113" s="91"/>
      <c r="M113" s="91"/>
      <c r="N113" s="91"/>
      <c r="O113" s="1186">
        <f>O114+Q132</f>
        <v>11688000</v>
      </c>
      <c r="P113" s="1186"/>
      <c r="Q113" s="1187"/>
      <c r="R113" s="415"/>
      <c r="S113" s="292"/>
      <c r="T113" s="288"/>
    </row>
    <row r="114" spans="1:20" s="11" customFormat="1" ht="23.25" customHeight="1">
      <c r="A114" s="420"/>
      <c r="B114" s="1138" t="s">
        <v>676</v>
      </c>
      <c r="C114" s="1137"/>
      <c r="D114" s="857">
        <v>0</v>
      </c>
      <c r="E114" s="802">
        <f>O114</f>
        <v>10248000</v>
      </c>
      <c r="F114" s="802">
        <f t="shared" si="4"/>
        <v>10248000</v>
      </c>
      <c r="G114" s="211"/>
      <c r="H114" s="212"/>
      <c r="I114" s="91"/>
      <c r="J114" s="91"/>
      <c r="K114" s="91"/>
      <c r="L114" s="91"/>
      <c r="M114" s="91"/>
      <c r="N114" s="91"/>
      <c r="O114" s="1188">
        <f>Q116+Q121+Q124+Q128+Q130</f>
        <v>10248000</v>
      </c>
      <c r="P114" s="1188"/>
      <c r="Q114" s="1189"/>
      <c r="R114" s="416"/>
      <c r="S114" s="288"/>
      <c r="T114" s="288"/>
    </row>
    <row r="115" spans="1:20" s="11" customFormat="1" ht="23.25" customHeight="1">
      <c r="A115" s="420"/>
      <c r="B115" s="213"/>
      <c r="C115" s="213" t="s">
        <v>677</v>
      </c>
      <c r="D115" s="803">
        <v>0</v>
      </c>
      <c r="E115" s="803">
        <f>Q115</f>
        <v>9768000</v>
      </c>
      <c r="F115" s="803">
        <f>E115-D115</f>
        <v>9768000</v>
      </c>
      <c r="G115" s="213" t="s">
        <v>678</v>
      </c>
      <c r="H115" s="652"/>
      <c r="I115" s="65"/>
      <c r="J115" s="65"/>
      <c r="K115" s="65"/>
      <c r="L115" s="65"/>
      <c r="M115" s="65"/>
      <c r="N115" s="65"/>
      <c r="O115" s="653"/>
      <c r="P115" s="653"/>
      <c r="Q115" s="654">
        <f>Q116+Q121</f>
        <v>9768000</v>
      </c>
      <c r="R115" s="416"/>
      <c r="S115" s="288"/>
      <c r="T115" s="288"/>
    </row>
    <row r="116" spans="1:20" s="11" customFormat="1" ht="23.25" customHeight="1">
      <c r="A116" s="420"/>
      <c r="C116" s="14"/>
      <c r="D116" s="804">
        <v>0</v>
      </c>
      <c r="E116" s="804"/>
      <c r="F116" s="804"/>
      <c r="G116" s="655" t="s">
        <v>679</v>
      </c>
      <c r="H116" s="656"/>
      <c r="I116" s="657"/>
      <c r="J116" s="657"/>
      <c r="K116" s="657"/>
      <c r="L116" s="657"/>
      <c r="M116" s="657"/>
      <c r="N116" s="657"/>
      <c r="O116" s="657"/>
      <c r="P116" s="220" t="s">
        <v>540</v>
      </c>
      <c r="Q116" s="658">
        <f>SUM(Q117:Q120)</f>
        <v>9768000</v>
      </c>
      <c r="R116" s="416"/>
      <c r="S116" s="289">
        <f>Q116</f>
        <v>9768000</v>
      </c>
      <c r="T116" s="288"/>
    </row>
    <row r="117" spans="1:20" s="11" customFormat="1" ht="23.25" customHeight="1">
      <c r="A117" s="420"/>
      <c r="B117" s="14"/>
      <c r="C117" s="14"/>
      <c r="D117" s="804">
        <v>0</v>
      </c>
      <c r="E117" s="804"/>
      <c r="F117" s="804"/>
      <c r="G117" s="218" t="s">
        <v>107</v>
      </c>
      <c r="H117" s="219">
        <v>6000</v>
      </c>
      <c r="I117" s="22" t="s">
        <v>680</v>
      </c>
      <c r="J117" s="22" t="s">
        <v>681</v>
      </c>
      <c r="K117" s="328">
        <v>8</v>
      </c>
      <c r="L117" s="22" t="s">
        <v>809</v>
      </c>
      <c r="M117" s="22"/>
      <c r="N117" s="25">
        <v>156</v>
      </c>
      <c r="O117" s="22" t="s">
        <v>808</v>
      </c>
      <c r="P117" s="220" t="s">
        <v>559</v>
      </c>
      <c r="Q117" s="632">
        <f>H117*K117*N117</f>
        <v>7488000</v>
      </c>
      <c r="R117" s="417"/>
      <c r="S117" s="289"/>
      <c r="T117" s="288"/>
    </row>
    <row r="118" spans="1:20" s="11" customFormat="1" ht="23.25" customHeight="1">
      <c r="A118" s="420"/>
      <c r="B118" s="14"/>
      <c r="C118" s="14"/>
      <c r="D118" s="804">
        <v>0</v>
      </c>
      <c r="E118" s="804"/>
      <c r="F118" s="804"/>
      <c r="G118" s="218" t="s">
        <v>810</v>
      </c>
      <c r="H118" s="219"/>
      <c r="I118" s="22"/>
      <c r="J118" s="22"/>
      <c r="K118" s="328"/>
      <c r="L118" s="22"/>
      <c r="M118" s="22"/>
      <c r="N118" s="25"/>
      <c r="O118" s="22"/>
      <c r="P118" s="220"/>
      <c r="Q118" s="632">
        <v>0</v>
      </c>
      <c r="R118" s="417"/>
      <c r="S118" s="289"/>
      <c r="T118" s="288"/>
    </row>
    <row r="119" spans="1:20" s="327" customFormat="1" ht="23.25" customHeight="1">
      <c r="A119" s="420"/>
      <c r="B119" s="14"/>
      <c r="C119" s="14"/>
      <c r="D119" s="804">
        <v>0</v>
      </c>
      <c r="E119" s="804"/>
      <c r="F119" s="804"/>
      <c r="G119" s="218" t="s">
        <v>682</v>
      </c>
      <c r="H119" s="219">
        <v>100000</v>
      </c>
      <c r="I119" s="22" t="s">
        <v>526</v>
      </c>
      <c r="J119" s="22" t="s">
        <v>527</v>
      </c>
      <c r="K119" s="328">
        <v>1</v>
      </c>
      <c r="L119" s="22" t="s">
        <v>12</v>
      </c>
      <c r="M119" s="22"/>
      <c r="N119" s="25">
        <v>6</v>
      </c>
      <c r="O119" s="22" t="s">
        <v>832</v>
      </c>
      <c r="P119" s="220" t="s">
        <v>3</v>
      </c>
      <c r="Q119" s="632">
        <f>H119*K119*N119</f>
        <v>600000</v>
      </c>
      <c r="R119" s="417"/>
      <c r="S119" s="326"/>
      <c r="T119" s="325"/>
    </row>
    <row r="120" spans="1:20" s="327" customFormat="1" ht="23.25" customHeight="1">
      <c r="A120" s="420"/>
      <c r="B120" s="14"/>
      <c r="C120" s="14"/>
      <c r="D120" s="804">
        <v>0</v>
      </c>
      <c r="E120" s="804"/>
      <c r="F120" s="804"/>
      <c r="G120" s="218" t="s">
        <v>797</v>
      </c>
      <c r="H120" s="827">
        <v>60000</v>
      </c>
      <c r="I120" s="268" t="s">
        <v>798</v>
      </c>
      <c r="J120" s="268" t="s">
        <v>799</v>
      </c>
      <c r="K120" s="828">
        <v>4</v>
      </c>
      <c r="L120" s="268" t="s">
        <v>2</v>
      </c>
      <c r="M120" s="268"/>
      <c r="N120" s="829">
        <v>7</v>
      </c>
      <c r="O120" s="268" t="s">
        <v>800</v>
      </c>
      <c r="P120" s="830"/>
      <c r="Q120" s="831">
        <f>H120*K120*N120</f>
        <v>1680000</v>
      </c>
      <c r="R120" s="417"/>
      <c r="S120" s="326"/>
      <c r="T120" s="325"/>
    </row>
    <row r="121" spans="1:20" s="327" customFormat="1" ht="23.25" customHeight="1">
      <c r="A121" s="420"/>
      <c r="B121" s="14"/>
      <c r="C121" s="14"/>
      <c r="D121" s="804">
        <v>0</v>
      </c>
      <c r="E121" s="804"/>
      <c r="F121" s="804"/>
      <c r="G121" s="631" t="s">
        <v>442</v>
      </c>
      <c r="H121" s="215"/>
      <c r="I121" s="21"/>
      <c r="J121" s="21"/>
      <c r="K121" s="21"/>
      <c r="L121" s="21"/>
      <c r="M121" s="21"/>
      <c r="N121" s="21"/>
      <c r="O121" s="21"/>
      <c r="P121" s="216" t="s">
        <v>3</v>
      </c>
      <c r="Q121" s="639">
        <f>SUM(Q122:Q123)</f>
        <v>0</v>
      </c>
      <c r="R121" s="417">
        <f>Q121</f>
        <v>0</v>
      </c>
      <c r="S121" s="326"/>
      <c r="T121" s="325"/>
    </row>
    <row r="122" spans="1:20" s="11" customFormat="1" ht="23.25" customHeight="1">
      <c r="A122" s="421"/>
      <c r="B122" s="323"/>
      <c r="C122" s="323"/>
      <c r="D122" s="805">
        <v>0</v>
      </c>
      <c r="E122" s="805"/>
      <c r="F122" s="805"/>
      <c r="G122" s="426" t="s">
        <v>683</v>
      </c>
      <c r="H122" s="219">
        <f>[1]세입예산서!H110</f>
        <v>0</v>
      </c>
      <c r="I122" s="22" t="s">
        <v>520</v>
      </c>
      <c r="J122" s="22" t="s">
        <v>521</v>
      </c>
      <c r="K122" s="329">
        <v>0</v>
      </c>
      <c r="L122" s="22" t="s">
        <v>528</v>
      </c>
      <c r="M122" s="22"/>
      <c r="N122" s="25">
        <v>0</v>
      </c>
      <c r="O122" s="22" t="s">
        <v>539</v>
      </c>
      <c r="P122" s="220" t="s">
        <v>540</v>
      </c>
      <c r="Q122" s="632">
        <f>H122*K122*N122</f>
        <v>0</v>
      </c>
      <c r="R122" s="417"/>
      <c r="S122" s="289"/>
      <c r="T122" s="288"/>
    </row>
    <row r="123" spans="1:20" s="327" customFormat="1" ht="23.25" customHeight="1">
      <c r="A123" s="420"/>
      <c r="B123" s="14"/>
      <c r="C123" s="14"/>
      <c r="D123" s="804">
        <v>0</v>
      </c>
      <c r="E123" s="804"/>
      <c r="F123" s="804"/>
      <c r="G123" s="426" t="s">
        <v>684</v>
      </c>
      <c r="H123" s="219">
        <f>[1]세입예산서!H111</f>
        <v>0</v>
      </c>
      <c r="I123" s="22" t="s">
        <v>0</v>
      </c>
      <c r="J123" s="22" t="s">
        <v>1</v>
      </c>
      <c r="K123" s="329">
        <f>[1]세입예산서!K111</f>
        <v>0</v>
      </c>
      <c r="L123" s="22" t="s">
        <v>685</v>
      </c>
      <c r="M123" s="22"/>
      <c r="N123" s="25">
        <v>0</v>
      </c>
      <c r="O123" s="22" t="s">
        <v>686</v>
      </c>
      <c r="P123" s="220" t="s">
        <v>687</v>
      </c>
      <c r="Q123" s="632">
        <f>H123*K123*N123</f>
        <v>0</v>
      </c>
      <c r="R123" s="417"/>
      <c r="S123" s="326"/>
      <c r="T123" s="325"/>
    </row>
    <row r="124" spans="1:20" s="2" customFormat="1" ht="23.25" customHeight="1">
      <c r="A124" s="350"/>
      <c r="B124" s="7"/>
      <c r="C124" s="265" t="s">
        <v>688</v>
      </c>
      <c r="D124" s="788">
        <v>0</v>
      </c>
      <c r="E124" s="788">
        <f xml:space="preserve"> Q124</f>
        <v>180000</v>
      </c>
      <c r="F124" s="788">
        <f>E124-D124</f>
        <v>180000</v>
      </c>
      <c r="G124" s="160" t="s">
        <v>689</v>
      </c>
      <c r="H124" s="169"/>
      <c r="I124" s="170"/>
      <c r="J124" s="170"/>
      <c r="K124" s="170"/>
      <c r="L124" s="170"/>
      <c r="M124" s="170"/>
      <c r="N124" s="170"/>
      <c r="O124" s="170"/>
      <c r="P124" s="163" t="s">
        <v>559</v>
      </c>
      <c r="Q124" s="737">
        <f>SUM(Q125:Q127)</f>
        <v>180000</v>
      </c>
      <c r="R124" s="418">
        <v>0</v>
      </c>
      <c r="S124" s="332">
        <f>Q124</f>
        <v>180000</v>
      </c>
      <c r="T124" s="285"/>
    </row>
    <row r="125" spans="1:20" s="2" customFormat="1" ht="23.25" customHeight="1">
      <c r="A125" s="350"/>
      <c r="B125" s="7"/>
      <c r="C125" s="206"/>
      <c r="D125" s="790">
        <v>0</v>
      </c>
      <c r="E125" s="790"/>
      <c r="F125" s="790"/>
      <c r="G125" s="174" t="s">
        <v>690</v>
      </c>
      <c r="H125" s="477">
        <v>10000</v>
      </c>
      <c r="I125" s="192" t="s">
        <v>526</v>
      </c>
      <c r="J125" s="192" t="s">
        <v>527</v>
      </c>
      <c r="K125" s="193" t="s">
        <v>598</v>
      </c>
      <c r="L125" s="192" t="s">
        <v>598</v>
      </c>
      <c r="M125" s="192" t="s">
        <v>598</v>
      </c>
      <c r="N125" s="194">
        <v>6</v>
      </c>
      <c r="O125" s="192" t="s">
        <v>806</v>
      </c>
      <c r="P125" s="195" t="s">
        <v>540</v>
      </c>
      <c r="Q125" s="347">
        <f>H125*N125</f>
        <v>60000</v>
      </c>
      <c r="R125" s="418"/>
      <c r="S125" s="332"/>
      <c r="T125" s="285"/>
    </row>
    <row r="126" spans="1:20" s="2" customFormat="1" ht="23.25" customHeight="1">
      <c r="A126" s="350"/>
      <c r="B126" s="7"/>
      <c r="C126" s="206"/>
      <c r="D126" s="790">
        <v>0</v>
      </c>
      <c r="E126" s="790"/>
      <c r="F126" s="790"/>
      <c r="G126" s="174" t="s">
        <v>691</v>
      </c>
      <c r="H126" s="191">
        <v>10000</v>
      </c>
      <c r="I126" s="192" t="s">
        <v>526</v>
      </c>
      <c r="J126" s="192" t="s">
        <v>527</v>
      </c>
      <c r="K126" s="193" t="s">
        <v>598</v>
      </c>
      <c r="L126" s="192" t="s">
        <v>598</v>
      </c>
      <c r="M126" s="192" t="s">
        <v>598</v>
      </c>
      <c r="N126" s="194">
        <v>6</v>
      </c>
      <c r="O126" s="192" t="s">
        <v>807</v>
      </c>
      <c r="P126" s="195" t="s">
        <v>540</v>
      </c>
      <c r="Q126" s="347">
        <f>H126*N126</f>
        <v>60000</v>
      </c>
      <c r="R126" s="418"/>
      <c r="S126" s="332"/>
      <c r="T126" s="285"/>
    </row>
    <row r="127" spans="1:20" s="2" customFormat="1" ht="23.25" customHeight="1">
      <c r="A127" s="350"/>
      <c r="B127" s="7"/>
      <c r="C127" s="7"/>
      <c r="D127" s="790">
        <v>0</v>
      </c>
      <c r="E127" s="790"/>
      <c r="F127" s="790"/>
      <c r="G127" s="174" t="s">
        <v>692</v>
      </c>
      <c r="H127" s="191">
        <v>10000</v>
      </c>
      <c r="I127" s="192" t="s">
        <v>526</v>
      </c>
      <c r="J127" s="192" t="s">
        <v>527</v>
      </c>
      <c r="K127" s="193" t="s">
        <v>598</v>
      </c>
      <c r="L127" s="192" t="s">
        <v>598</v>
      </c>
      <c r="M127" s="192" t="s">
        <v>598</v>
      </c>
      <c r="N127" s="194">
        <v>6</v>
      </c>
      <c r="O127" s="192" t="s">
        <v>20</v>
      </c>
      <c r="P127" s="195" t="s">
        <v>540</v>
      </c>
      <c r="Q127" s="347">
        <f>H127*N127</f>
        <v>60000</v>
      </c>
      <c r="R127" s="405"/>
      <c r="S127" s="285"/>
      <c r="T127" s="285"/>
    </row>
    <row r="128" spans="1:20" s="2" customFormat="1" ht="23.25" customHeight="1">
      <c r="A128" s="350"/>
      <c r="B128" s="7"/>
      <c r="C128" s="10" t="s">
        <v>693</v>
      </c>
      <c r="D128" s="788">
        <v>0</v>
      </c>
      <c r="E128" s="788">
        <f xml:space="preserve"> Q128</f>
        <v>300000</v>
      </c>
      <c r="F128" s="788">
        <f>E128-D128</f>
        <v>300000</v>
      </c>
      <c r="G128" s="13" t="s">
        <v>110</v>
      </c>
      <c r="H128" s="95"/>
      <c r="I128" s="16"/>
      <c r="J128" s="16"/>
      <c r="K128" s="35"/>
      <c r="L128" s="16"/>
      <c r="M128" s="16"/>
      <c r="N128" s="17"/>
      <c r="O128" s="16"/>
      <c r="P128" s="16"/>
      <c r="Q128" s="738">
        <f>SUM(Q129:Q129)</f>
        <v>300000</v>
      </c>
      <c r="R128" s="408"/>
      <c r="S128" s="287">
        <f>Q128</f>
        <v>300000</v>
      </c>
      <c r="T128" s="285"/>
    </row>
    <row r="129" spans="1:20" s="2" customFormat="1" ht="23.25" customHeight="1">
      <c r="A129" s="350"/>
      <c r="B129" s="7"/>
      <c r="C129" s="7"/>
      <c r="D129" s="790">
        <v>0</v>
      </c>
      <c r="E129" s="790"/>
      <c r="F129" s="790"/>
      <c r="G129" s="278" t="s">
        <v>694</v>
      </c>
      <c r="H129" s="96">
        <v>50000</v>
      </c>
      <c r="I129" s="22" t="s">
        <v>695</v>
      </c>
      <c r="J129" s="22" t="s">
        <v>696</v>
      </c>
      <c r="K129" s="36">
        <v>1</v>
      </c>
      <c r="L129" s="22" t="s">
        <v>805</v>
      </c>
      <c r="M129" s="22" t="s">
        <v>696</v>
      </c>
      <c r="N129" s="25">
        <v>6</v>
      </c>
      <c r="O129" s="22" t="s">
        <v>697</v>
      </c>
      <c r="P129" s="22"/>
      <c r="Q129" s="344">
        <f>H129*N129*K129</f>
        <v>300000</v>
      </c>
      <c r="R129" s="405"/>
      <c r="S129" s="285"/>
      <c r="T129" s="285"/>
    </row>
    <row r="130" spans="1:20" s="2" customFormat="1" ht="23.25" customHeight="1">
      <c r="A130" s="350"/>
      <c r="B130" s="7"/>
      <c r="C130" s="10" t="s">
        <v>698</v>
      </c>
      <c r="D130" s="788">
        <v>0</v>
      </c>
      <c r="E130" s="788">
        <f xml:space="preserve"> Q130</f>
        <v>0</v>
      </c>
      <c r="F130" s="788">
        <f>E130-D130</f>
        <v>0</v>
      </c>
      <c r="G130" s="13" t="s">
        <v>699</v>
      </c>
      <c r="H130" s="95"/>
      <c r="I130" s="16"/>
      <c r="J130" s="16"/>
      <c r="K130" s="35"/>
      <c r="L130" s="16"/>
      <c r="M130" s="16"/>
      <c r="N130" s="17"/>
      <c r="O130" s="16"/>
      <c r="P130" s="16"/>
      <c r="Q130" s="738">
        <f>SUM(Q131:Q131)</f>
        <v>0</v>
      </c>
      <c r="R130" s="408"/>
      <c r="S130" s="287">
        <f>Q130</f>
        <v>0</v>
      </c>
      <c r="T130" s="285"/>
    </row>
    <row r="131" spans="1:20" s="2" customFormat="1" ht="23.25" customHeight="1">
      <c r="A131" s="350"/>
      <c r="B131" s="7"/>
      <c r="C131" s="9"/>
      <c r="D131" s="791">
        <v>0</v>
      </c>
      <c r="E131" s="791"/>
      <c r="F131" s="791"/>
      <c r="G131" s="743" t="s">
        <v>700</v>
      </c>
      <c r="H131" s="744">
        <v>0</v>
      </c>
      <c r="I131" s="23" t="s">
        <v>526</v>
      </c>
      <c r="J131" s="23" t="s">
        <v>527</v>
      </c>
      <c r="K131" s="745">
        <v>0</v>
      </c>
      <c r="L131" s="23" t="s">
        <v>528</v>
      </c>
      <c r="M131" s="23" t="s">
        <v>527</v>
      </c>
      <c r="N131" s="746">
        <v>0</v>
      </c>
      <c r="O131" s="23" t="s">
        <v>545</v>
      </c>
      <c r="P131" s="23"/>
      <c r="Q131" s="345">
        <f>H131*N131*K131</f>
        <v>0</v>
      </c>
      <c r="R131" s="405"/>
      <c r="S131" s="285"/>
      <c r="T131" s="285"/>
    </row>
    <row r="132" spans="1:20" s="2" customFormat="1" ht="23.25" customHeight="1">
      <c r="A132" s="350"/>
      <c r="B132" s="1138" t="s">
        <v>701</v>
      </c>
      <c r="C132" s="1181"/>
      <c r="D132" s="856">
        <v>0</v>
      </c>
      <c r="E132" s="801">
        <f>E133</f>
        <v>1440000</v>
      </c>
      <c r="F132" s="790">
        <f>E132-D132</f>
        <v>1440000</v>
      </c>
      <c r="G132" s="15"/>
      <c r="H132" s="212"/>
      <c r="I132" s="91"/>
      <c r="J132" s="91"/>
      <c r="K132" s="91"/>
      <c r="L132" s="91"/>
      <c r="M132" s="91"/>
      <c r="N132" s="91"/>
      <c r="O132" s="91"/>
      <c r="P132" s="84"/>
      <c r="Q132" s="369">
        <f>Q133</f>
        <v>1440000</v>
      </c>
      <c r="R132" s="408"/>
      <c r="S132" s="287"/>
      <c r="T132" s="285"/>
    </row>
    <row r="133" spans="1:20" s="2" customFormat="1" ht="23.25" customHeight="1">
      <c r="A133" s="350"/>
      <c r="B133" s="741"/>
      <c r="C133" s="10" t="s">
        <v>702</v>
      </c>
      <c r="D133" s="788">
        <v>0</v>
      </c>
      <c r="E133" s="788">
        <f xml:space="preserve"> Q133</f>
        <v>1440000</v>
      </c>
      <c r="F133" s="788">
        <f>E133-D133</f>
        <v>1440000</v>
      </c>
      <c r="G133" s="221" t="s">
        <v>703</v>
      </c>
      <c r="H133" s="222"/>
      <c r="I133" s="170"/>
      <c r="J133" s="170"/>
      <c r="K133" s="170"/>
      <c r="L133" s="170"/>
      <c r="M133" s="170"/>
      <c r="N133" s="170"/>
      <c r="O133" s="170"/>
      <c r="P133" s="163" t="s">
        <v>559</v>
      </c>
      <c r="Q133" s="737">
        <f>SUM(Q134:Q137)</f>
        <v>1440000</v>
      </c>
      <c r="R133" s="408"/>
      <c r="S133" s="287">
        <f>Q133</f>
        <v>1440000</v>
      </c>
      <c r="T133" s="285"/>
    </row>
    <row r="134" spans="1:20" s="2" customFormat="1" ht="23.25" customHeight="1">
      <c r="A134" s="350"/>
      <c r="B134" s="742"/>
      <c r="C134" s="7"/>
      <c r="D134" s="790">
        <v>0</v>
      </c>
      <c r="E134" s="790"/>
      <c r="F134" s="790"/>
      <c r="G134" s="207" t="s">
        <v>801</v>
      </c>
      <c r="H134" s="473">
        <v>120000</v>
      </c>
      <c r="I134" s="175" t="s">
        <v>526</v>
      </c>
      <c r="J134" s="175" t="s">
        <v>527</v>
      </c>
      <c r="K134" s="177">
        <v>1</v>
      </c>
      <c r="L134" s="175" t="s">
        <v>816</v>
      </c>
      <c r="M134" s="175" t="s">
        <v>527</v>
      </c>
      <c r="N134" s="177">
        <v>6</v>
      </c>
      <c r="O134" s="175" t="s">
        <v>804</v>
      </c>
      <c r="P134" s="178" t="s">
        <v>540</v>
      </c>
      <c r="Q134" s="344">
        <f>(H134*K134)*N134</f>
        <v>720000</v>
      </c>
      <c r="S134" s="285"/>
      <c r="T134" s="285"/>
    </row>
    <row r="135" spans="1:20" s="2" customFormat="1" ht="23.25" customHeight="1">
      <c r="A135" s="350"/>
      <c r="B135" s="740"/>
      <c r="C135" s="7"/>
      <c r="D135" s="853">
        <v>0</v>
      </c>
      <c r="E135" s="790"/>
      <c r="F135" s="790"/>
      <c r="G135" s="207" t="s">
        <v>802</v>
      </c>
      <c r="H135" s="473">
        <v>120000</v>
      </c>
      <c r="I135" s="175" t="s">
        <v>526</v>
      </c>
      <c r="J135" s="175" t="s">
        <v>527</v>
      </c>
      <c r="K135" s="177">
        <v>1</v>
      </c>
      <c r="L135" s="175" t="s">
        <v>816</v>
      </c>
      <c r="M135" s="175" t="s">
        <v>527</v>
      </c>
      <c r="N135" s="177">
        <v>6</v>
      </c>
      <c r="O135" s="175" t="s">
        <v>16</v>
      </c>
      <c r="P135" s="178" t="s">
        <v>540</v>
      </c>
      <c r="Q135" s="344">
        <f>(H135*K135)*N135</f>
        <v>720000</v>
      </c>
      <c r="S135" s="285"/>
      <c r="T135" s="285"/>
    </row>
    <row r="136" spans="1:20" s="2" customFormat="1" ht="23.25" customHeight="1">
      <c r="A136" s="350"/>
      <c r="B136" s="740"/>
      <c r="C136" s="7"/>
      <c r="D136" s="853">
        <v>0</v>
      </c>
      <c r="E136" s="790"/>
      <c r="F136" s="790"/>
      <c r="G136" s="207" t="s">
        <v>789</v>
      </c>
      <c r="H136" s="473">
        <v>0</v>
      </c>
      <c r="I136" s="175" t="s">
        <v>0</v>
      </c>
      <c r="J136" s="175" t="s">
        <v>1</v>
      </c>
      <c r="K136" s="177">
        <v>1</v>
      </c>
      <c r="L136" s="175"/>
      <c r="M136" s="175" t="s">
        <v>1</v>
      </c>
      <c r="N136" s="177">
        <v>0</v>
      </c>
      <c r="O136" s="175" t="s">
        <v>12</v>
      </c>
      <c r="P136" s="178" t="s">
        <v>3</v>
      </c>
      <c r="Q136" s="344">
        <f>(H136*K136)*N136</f>
        <v>0</v>
      </c>
      <c r="S136" s="285"/>
      <c r="T136" s="285"/>
    </row>
    <row r="137" spans="1:20" s="2" customFormat="1" ht="23.25" customHeight="1" thickBot="1">
      <c r="A137" s="350"/>
      <c r="B137" s="740"/>
      <c r="C137" s="204"/>
      <c r="D137" s="853">
        <v>0</v>
      </c>
      <c r="E137" s="790"/>
      <c r="F137" s="790"/>
      <c r="G137" s="207" t="s">
        <v>788</v>
      </c>
      <c r="H137" s="473">
        <v>0</v>
      </c>
      <c r="I137" s="175" t="s">
        <v>526</v>
      </c>
      <c r="J137" s="175" t="s">
        <v>527</v>
      </c>
      <c r="K137" s="177">
        <v>1</v>
      </c>
      <c r="L137" s="175"/>
      <c r="M137" s="175" t="s">
        <v>527</v>
      </c>
      <c r="N137" s="177">
        <v>0</v>
      </c>
      <c r="O137" s="175" t="s">
        <v>545</v>
      </c>
      <c r="P137" s="178" t="s">
        <v>540</v>
      </c>
      <c r="Q137" s="344">
        <f>(H137*K137)*N137</f>
        <v>0</v>
      </c>
      <c r="S137" s="285"/>
      <c r="T137" s="285"/>
    </row>
    <row r="138" spans="1:20" s="2" customFormat="1" ht="23.25" customHeight="1">
      <c r="A138" s="1099" t="s">
        <v>704</v>
      </c>
      <c r="B138" s="1100"/>
      <c r="C138" s="1101"/>
      <c r="D138" s="858">
        <v>0</v>
      </c>
      <c r="E138" s="780">
        <f>E139</f>
        <v>9000000</v>
      </c>
      <c r="F138" s="806">
        <f t="shared" ref="F138:F147" si="6">E138-D138</f>
        <v>9000000</v>
      </c>
      <c r="G138" s="237"/>
      <c r="H138" s="238"/>
      <c r="I138" s="238"/>
      <c r="J138" s="238"/>
      <c r="K138" s="238"/>
      <c r="L138" s="238"/>
      <c r="M138" s="238"/>
      <c r="N138" s="238"/>
      <c r="O138" s="238"/>
      <c r="P138" s="238"/>
      <c r="Q138" s="398">
        <f>Q139</f>
        <v>9000000</v>
      </c>
      <c r="R138" s="405"/>
      <c r="S138" s="287">
        <f>Q138</f>
        <v>9000000</v>
      </c>
      <c r="T138" s="285"/>
    </row>
    <row r="139" spans="1:20" s="2" customFormat="1" ht="23.25" customHeight="1">
      <c r="A139" s="346"/>
      <c r="B139" s="1172" t="s">
        <v>705</v>
      </c>
      <c r="C139" s="1165"/>
      <c r="D139" s="859">
        <v>0</v>
      </c>
      <c r="E139" s="782">
        <f>E140+E141</f>
        <v>9000000</v>
      </c>
      <c r="F139" s="788">
        <f t="shared" si="6"/>
        <v>9000000</v>
      </c>
      <c r="G139" s="214" t="s">
        <v>706</v>
      </c>
      <c r="H139" s="224"/>
      <c r="I139" s="156"/>
      <c r="J139" s="156"/>
      <c r="K139" s="156"/>
      <c r="L139" s="156"/>
      <c r="M139" s="156"/>
      <c r="N139" s="156"/>
      <c r="O139" s="156"/>
      <c r="P139" s="163"/>
      <c r="Q139" s="360">
        <f>Q140+Q141</f>
        <v>9000000</v>
      </c>
      <c r="R139" s="405"/>
      <c r="S139" s="285"/>
      <c r="T139" s="285"/>
    </row>
    <row r="140" spans="1:20" s="2" customFormat="1" ht="23.25" customHeight="1">
      <c r="A140" s="383" t="s">
        <v>707</v>
      </c>
      <c r="B140" s="10"/>
      <c r="C140" s="491" t="s">
        <v>708</v>
      </c>
      <c r="D140" s="860">
        <v>0</v>
      </c>
      <c r="E140" s="788">
        <f>Q140</f>
        <v>0</v>
      </c>
      <c r="F140" s="788">
        <f t="shared" si="6"/>
        <v>0</v>
      </c>
      <c r="G140" s="10" t="s">
        <v>709</v>
      </c>
      <c r="H140" s="490">
        <v>0</v>
      </c>
      <c r="I140" s="231" t="s">
        <v>526</v>
      </c>
      <c r="J140" s="231"/>
      <c r="K140" s="231"/>
      <c r="L140" s="231"/>
      <c r="M140" s="231"/>
      <c r="N140" s="231"/>
      <c r="O140" s="231"/>
      <c r="P140" s="159" t="s">
        <v>540</v>
      </c>
      <c r="Q140" s="361">
        <f>H140</f>
        <v>0</v>
      </c>
      <c r="R140" s="405"/>
      <c r="S140" s="285"/>
      <c r="T140" s="285"/>
    </row>
    <row r="141" spans="1:20" s="2" customFormat="1" ht="23.25" customHeight="1" thickBot="1">
      <c r="A141" s="375" t="s">
        <v>710</v>
      </c>
      <c r="B141" s="232"/>
      <c r="C141" s="376" t="s">
        <v>711</v>
      </c>
      <c r="D141" s="861">
        <v>0</v>
      </c>
      <c r="E141" s="800">
        <f>Q141</f>
        <v>9000000</v>
      </c>
      <c r="F141" s="800">
        <f>E141-D141</f>
        <v>9000000</v>
      </c>
      <c r="G141" s="232" t="s">
        <v>712</v>
      </c>
      <c r="H141" s="473">
        <v>3000000</v>
      </c>
      <c r="I141" s="175" t="s">
        <v>634</v>
      </c>
      <c r="J141" s="175" t="s">
        <v>635</v>
      </c>
      <c r="K141" s="177">
        <v>1</v>
      </c>
      <c r="L141" s="175" t="s">
        <v>829</v>
      </c>
      <c r="M141" s="175" t="s">
        <v>635</v>
      </c>
      <c r="N141" s="177">
        <v>3</v>
      </c>
      <c r="O141" s="175" t="s">
        <v>16</v>
      </c>
      <c r="P141" s="178" t="s">
        <v>637</v>
      </c>
      <c r="Q141" s="365">
        <f>H141*K141*N141</f>
        <v>9000000</v>
      </c>
      <c r="R141" s="405"/>
      <c r="S141" s="285"/>
      <c r="T141" s="285"/>
    </row>
    <row r="142" spans="1:20" s="2" customFormat="1" ht="23.25" customHeight="1">
      <c r="A142" s="1099" t="s">
        <v>713</v>
      </c>
      <c r="B142" s="1100"/>
      <c r="C142" s="1101"/>
      <c r="D142" s="862">
        <v>0</v>
      </c>
      <c r="E142" s="807">
        <f>E143</f>
        <v>0</v>
      </c>
      <c r="F142" s="806">
        <f t="shared" si="6"/>
        <v>0</v>
      </c>
      <c r="G142" s="379"/>
      <c r="H142" s="380"/>
      <c r="I142" s="380"/>
      <c r="J142" s="380"/>
      <c r="K142" s="380"/>
      <c r="L142" s="380"/>
      <c r="M142" s="380"/>
      <c r="N142" s="380"/>
      <c r="O142" s="380"/>
      <c r="P142" s="380"/>
      <c r="Q142" s="398">
        <f>Q143</f>
        <v>0</v>
      </c>
      <c r="R142" s="405"/>
      <c r="S142" s="287">
        <f>Q142</f>
        <v>0</v>
      </c>
      <c r="T142" s="285"/>
    </row>
    <row r="143" spans="1:20" s="2" customFormat="1" ht="23.25" customHeight="1">
      <c r="A143" s="338"/>
      <c r="B143" s="1172" t="s">
        <v>714</v>
      </c>
      <c r="C143" s="1165"/>
      <c r="D143" s="863">
        <v>0</v>
      </c>
      <c r="E143" s="799">
        <f>E144</f>
        <v>0</v>
      </c>
      <c r="F143" s="808">
        <f t="shared" si="6"/>
        <v>0</v>
      </c>
      <c r="G143" s="158"/>
      <c r="H143" s="224"/>
      <c r="I143" s="156"/>
      <c r="J143" s="156"/>
      <c r="K143" s="156"/>
      <c r="L143" s="156"/>
      <c r="M143" s="156"/>
      <c r="N143" s="156"/>
      <c r="O143" s="156"/>
      <c r="P143" s="163"/>
      <c r="Q143" s="360">
        <f>Q144</f>
        <v>0</v>
      </c>
      <c r="R143" s="405"/>
      <c r="S143" s="285"/>
      <c r="T143" s="285"/>
    </row>
    <row r="144" spans="1:20" s="2" customFormat="1" ht="23.25" customHeight="1" thickBot="1">
      <c r="A144" s="375" t="s">
        <v>715</v>
      </c>
      <c r="B144" s="381"/>
      <c r="C144" s="232" t="s">
        <v>716</v>
      </c>
      <c r="D144" s="798">
        <v>0</v>
      </c>
      <c r="E144" s="798">
        <f>Q144</f>
        <v>0</v>
      </c>
      <c r="F144" s="798">
        <f t="shared" si="6"/>
        <v>0</v>
      </c>
      <c r="G144" s="232" t="s">
        <v>717</v>
      </c>
      <c r="H144" s="377">
        <v>0</v>
      </c>
      <c r="I144" s="233" t="s">
        <v>718</v>
      </c>
      <c r="J144" s="233"/>
      <c r="K144" s="233"/>
      <c r="L144" s="233"/>
      <c r="M144" s="233"/>
      <c r="N144" s="233"/>
      <c r="O144" s="233"/>
      <c r="P144" s="236" t="s">
        <v>719</v>
      </c>
      <c r="Q144" s="365">
        <f>H144</f>
        <v>0</v>
      </c>
      <c r="R144" s="405"/>
      <c r="S144" s="285"/>
      <c r="T144" s="285"/>
    </row>
    <row r="145" spans="1:21" s="2" customFormat="1" ht="23.25" customHeight="1">
      <c r="A145" s="1099" t="s">
        <v>720</v>
      </c>
      <c r="B145" s="1100"/>
      <c r="C145" s="1101"/>
      <c r="D145" s="864">
        <v>0</v>
      </c>
      <c r="E145" s="807">
        <f>E146</f>
        <v>0</v>
      </c>
      <c r="F145" s="809">
        <f t="shared" si="6"/>
        <v>0</v>
      </c>
      <c r="G145" s="237"/>
      <c r="H145" s="238"/>
      <c r="I145" s="238"/>
      <c r="J145" s="238"/>
      <c r="K145" s="238"/>
      <c r="L145" s="238"/>
      <c r="M145" s="238"/>
      <c r="N145" s="238"/>
      <c r="O145" s="1178">
        <f>O146</f>
        <v>0</v>
      </c>
      <c r="P145" s="1178"/>
      <c r="Q145" s="1179"/>
      <c r="R145" s="408"/>
      <c r="S145" s="285"/>
      <c r="T145" s="285"/>
    </row>
    <row r="146" spans="1:21" s="2" customFormat="1" ht="23.25" customHeight="1">
      <c r="A146" s="338"/>
      <c r="B146" s="1172" t="s">
        <v>721</v>
      </c>
      <c r="C146" s="1165"/>
      <c r="D146" s="863">
        <v>0</v>
      </c>
      <c r="E146" s="799">
        <f>E147+E150</f>
        <v>0</v>
      </c>
      <c r="F146" s="799">
        <f t="shared" si="6"/>
        <v>0</v>
      </c>
      <c r="G146" s="158"/>
      <c r="H146" s="156"/>
      <c r="I146" s="156"/>
      <c r="J146" s="156"/>
      <c r="K146" s="156"/>
      <c r="L146" s="156"/>
      <c r="M146" s="156"/>
      <c r="N146" s="156"/>
      <c r="O146" s="1167">
        <f>Q147+Q150</f>
        <v>0</v>
      </c>
      <c r="P146" s="1167"/>
      <c r="Q146" s="1168"/>
      <c r="R146" s="405"/>
      <c r="S146" s="285"/>
      <c r="T146" s="285"/>
    </row>
    <row r="147" spans="1:21" s="2" customFormat="1" ht="23.25" customHeight="1">
      <c r="A147" s="350"/>
      <c r="B147" s="5"/>
      <c r="C147" s="1180" t="s">
        <v>722</v>
      </c>
      <c r="D147" s="865">
        <v>0</v>
      </c>
      <c r="E147" s="1063">
        <f>Q147</f>
        <v>0</v>
      </c>
      <c r="F147" s="1063">
        <f t="shared" si="6"/>
        <v>0</v>
      </c>
      <c r="G147" s="158" t="s">
        <v>723</v>
      </c>
      <c r="H147" s="228"/>
      <c r="I147" s="156"/>
      <c r="J147" s="156"/>
      <c r="K147" s="156"/>
      <c r="L147" s="156"/>
      <c r="M147" s="156"/>
      <c r="N147" s="156"/>
      <c r="O147" s="156"/>
      <c r="P147" s="229" t="s">
        <v>548</v>
      </c>
      <c r="Q147" s="635">
        <f>Q148+Q149</f>
        <v>0</v>
      </c>
      <c r="R147" s="405"/>
      <c r="S147" s="287">
        <f>Q147</f>
        <v>0</v>
      </c>
      <c r="T147" s="285"/>
    </row>
    <row r="148" spans="1:21" s="2" customFormat="1" ht="23.25" customHeight="1">
      <c r="A148" s="383" t="s">
        <v>598</v>
      </c>
      <c r="B148" s="7"/>
      <c r="C148" s="1091"/>
      <c r="D148" s="865">
        <v>0</v>
      </c>
      <c r="E148" s="1077"/>
      <c r="F148" s="1077"/>
      <c r="G148" s="427" t="s">
        <v>821</v>
      </c>
      <c r="H148" s="318">
        <v>0</v>
      </c>
      <c r="I148" s="54" t="s">
        <v>526</v>
      </c>
      <c r="J148" s="54" t="s">
        <v>527</v>
      </c>
      <c r="K148" s="61">
        <v>0</v>
      </c>
      <c r="L148" s="54" t="s">
        <v>539</v>
      </c>
      <c r="M148" s="54" t="s">
        <v>527</v>
      </c>
      <c r="N148" s="56">
        <v>0</v>
      </c>
      <c r="O148" s="54" t="s">
        <v>545</v>
      </c>
      <c r="P148" s="159" t="s">
        <v>540</v>
      </c>
      <c r="Q148" s="634">
        <f>H148*N148*K148</f>
        <v>0</v>
      </c>
      <c r="R148" s="408"/>
      <c r="S148" s="290"/>
      <c r="T148" s="285"/>
    </row>
    <row r="149" spans="1:21" s="2" customFormat="1" ht="23.25" customHeight="1">
      <c r="A149" s="383"/>
      <c r="B149" s="7"/>
      <c r="C149" s="92"/>
      <c r="D149" s="866">
        <v>0</v>
      </c>
      <c r="E149" s="1078"/>
      <c r="F149" s="1078"/>
      <c r="G149" s="428" t="s">
        <v>820</v>
      </c>
      <c r="H149" s="318">
        <v>0</v>
      </c>
      <c r="I149" s="54"/>
      <c r="J149" s="54"/>
      <c r="K149" s="61"/>
      <c r="L149" s="54"/>
      <c r="M149" s="54"/>
      <c r="N149" s="56"/>
      <c r="O149" s="54"/>
      <c r="P149" s="187" t="s">
        <v>540</v>
      </c>
      <c r="Q149" s="634">
        <f>H149</f>
        <v>0</v>
      </c>
      <c r="R149" s="407"/>
      <c r="S149" s="287">
        <f>Q149</f>
        <v>0</v>
      </c>
      <c r="T149" s="285"/>
    </row>
    <row r="150" spans="1:21" s="2" customFormat="1" ht="23.25" customHeight="1">
      <c r="A150" s="383"/>
      <c r="B150" s="10"/>
      <c r="C150" s="1170" t="s">
        <v>724</v>
      </c>
      <c r="D150" s="867">
        <v>0</v>
      </c>
      <c r="E150" s="1063">
        <f>Q150</f>
        <v>0</v>
      </c>
      <c r="F150" s="810">
        <f>E150-D150</f>
        <v>0</v>
      </c>
      <c r="G150" s="158" t="s">
        <v>725</v>
      </c>
      <c r="H150" s="228"/>
      <c r="I150" s="156"/>
      <c r="J150" s="156"/>
      <c r="K150" s="156"/>
      <c r="L150" s="156"/>
      <c r="M150" s="156"/>
      <c r="N150" s="156"/>
      <c r="O150" s="156"/>
      <c r="P150" s="229" t="s">
        <v>548</v>
      </c>
      <c r="Q150" s="635">
        <f>Q151</f>
        <v>0</v>
      </c>
      <c r="R150" s="408"/>
      <c r="S150" s="287">
        <f>Q150</f>
        <v>0</v>
      </c>
      <c r="T150" s="285"/>
    </row>
    <row r="151" spans="1:21" s="2" customFormat="1" ht="23.25" customHeight="1" thickBot="1">
      <c r="A151" s="375"/>
      <c r="B151" s="204"/>
      <c r="C151" s="1171"/>
      <c r="D151" s="868">
        <v>0</v>
      </c>
      <c r="E151" s="1064"/>
      <c r="F151" s="811"/>
      <c r="G151" s="232" t="s">
        <v>116</v>
      </c>
      <c r="H151" s="371">
        <v>0</v>
      </c>
      <c r="I151" s="372" t="s">
        <v>0</v>
      </c>
      <c r="J151" s="372" t="s">
        <v>1</v>
      </c>
      <c r="K151" s="373">
        <v>0</v>
      </c>
      <c r="L151" s="372" t="s">
        <v>16</v>
      </c>
      <c r="M151" s="372" t="s">
        <v>1</v>
      </c>
      <c r="N151" s="374">
        <v>0</v>
      </c>
      <c r="O151" s="372" t="s">
        <v>12</v>
      </c>
      <c r="P151" s="372"/>
      <c r="Q151" s="385">
        <f>H151*N151*K151</f>
        <v>0</v>
      </c>
      <c r="R151" s="408"/>
      <c r="S151" s="285"/>
      <c r="T151" s="285"/>
    </row>
    <row r="152" spans="1:21" s="2" customFormat="1" ht="23.25" customHeight="1">
      <c r="A152" s="1099" t="s">
        <v>371</v>
      </c>
      <c r="B152" s="1100"/>
      <c r="C152" s="1101"/>
      <c r="D152" s="862">
        <v>0</v>
      </c>
      <c r="E152" s="807">
        <f>E153</f>
        <v>1007179</v>
      </c>
      <c r="F152" s="807">
        <f t="shared" ref="F152:F165" si="7">E152-D152</f>
        <v>1007179</v>
      </c>
      <c r="G152" s="237"/>
      <c r="H152" s="238"/>
      <c r="I152" s="238"/>
      <c r="J152" s="238"/>
      <c r="K152" s="238"/>
      <c r="L152" s="238"/>
      <c r="M152" s="238"/>
      <c r="N152" s="238"/>
      <c r="O152" s="238"/>
      <c r="P152" s="238"/>
      <c r="Q152" s="398">
        <f>Q153</f>
        <v>1007179</v>
      </c>
      <c r="R152" s="407"/>
      <c r="S152" s="290">
        <f>Q152</f>
        <v>1007179</v>
      </c>
      <c r="T152" s="285"/>
    </row>
    <row r="153" spans="1:21" s="2" customFormat="1" ht="23.25" customHeight="1">
      <c r="A153" s="348"/>
      <c r="B153" s="1164" t="s">
        <v>726</v>
      </c>
      <c r="C153" s="1165"/>
      <c r="D153" s="855">
        <v>0</v>
      </c>
      <c r="E153" s="782">
        <f>E154</f>
        <v>1007179</v>
      </c>
      <c r="F153" s="782">
        <f t="shared" si="7"/>
        <v>1007179</v>
      </c>
      <c r="G153" s="158"/>
      <c r="H153" s="156"/>
      <c r="I153" s="156"/>
      <c r="J153" s="156"/>
      <c r="K153" s="156"/>
      <c r="L153" s="156"/>
      <c r="M153" s="156"/>
      <c r="N153" s="156"/>
      <c r="O153" s="156"/>
      <c r="P153" s="156"/>
      <c r="Q153" s="386">
        <f>Q154</f>
        <v>1007179</v>
      </c>
      <c r="R153" s="407"/>
      <c r="S153" s="290"/>
      <c r="T153" s="285"/>
    </row>
    <row r="154" spans="1:21" s="2" customFormat="1" ht="23.25" customHeight="1" thickBot="1">
      <c r="A154" s="387"/>
      <c r="B154" s="230"/>
      <c r="C154" s="10" t="s">
        <v>727</v>
      </c>
      <c r="D154" s="788">
        <v>0</v>
      </c>
      <c r="E154" s="790">
        <f>Q154</f>
        <v>1007179</v>
      </c>
      <c r="F154" s="790">
        <f t="shared" si="7"/>
        <v>1007179</v>
      </c>
      <c r="G154" s="231" t="s">
        <v>728</v>
      </c>
      <c r="H154" s="488">
        <v>1007179</v>
      </c>
      <c r="I154" s="231" t="s">
        <v>533</v>
      </c>
      <c r="J154" s="172" t="s">
        <v>729</v>
      </c>
      <c r="K154" s="231" t="s">
        <v>729</v>
      </c>
      <c r="L154" s="172" t="s">
        <v>729</v>
      </c>
      <c r="M154" s="172" t="s">
        <v>729</v>
      </c>
      <c r="N154" s="231" t="s">
        <v>729</v>
      </c>
      <c r="O154" s="172" t="s">
        <v>729</v>
      </c>
      <c r="P154" s="159" t="s">
        <v>559</v>
      </c>
      <c r="Q154" s="361">
        <f>H154</f>
        <v>1007179</v>
      </c>
      <c r="R154" s="407"/>
      <c r="S154" s="290"/>
      <c r="T154" s="285"/>
      <c r="U154" s="776">
        <f>H154+S2</f>
        <v>1007178.512500003</v>
      </c>
    </row>
    <row r="155" spans="1:21" s="2" customFormat="1" ht="23.25" customHeight="1">
      <c r="A155" s="1099" t="s">
        <v>730</v>
      </c>
      <c r="B155" s="1100"/>
      <c r="C155" s="1101"/>
      <c r="D155" s="846">
        <v>0</v>
      </c>
      <c r="E155" s="780">
        <f>E156</f>
        <v>0</v>
      </c>
      <c r="F155" s="780">
        <f t="shared" si="7"/>
        <v>0</v>
      </c>
      <c r="G155" s="237"/>
      <c r="H155" s="238"/>
      <c r="I155" s="238"/>
      <c r="J155" s="238"/>
      <c r="K155" s="238"/>
      <c r="L155" s="238"/>
      <c r="M155" s="238"/>
      <c r="N155" s="238"/>
      <c r="O155" s="238"/>
      <c r="P155" s="238"/>
      <c r="Q155" s="398">
        <f>Q156</f>
        <v>0</v>
      </c>
      <c r="R155" s="407"/>
      <c r="S155" s="287">
        <f>Q155</f>
        <v>0</v>
      </c>
      <c r="T155" s="285"/>
    </row>
    <row r="156" spans="1:21" s="2" customFormat="1" ht="23.25" customHeight="1">
      <c r="A156" s="338"/>
      <c r="B156" s="1164" t="s">
        <v>731</v>
      </c>
      <c r="C156" s="1165"/>
      <c r="D156" s="859">
        <v>0</v>
      </c>
      <c r="E156" s="812">
        <f>E158+E157</f>
        <v>0</v>
      </c>
      <c r="F156" s="812">
        <f t="shared" si="7"/>
        <v>0</v>
      </c>
      <c r="G156" s="80"/>
      <c r="H156" s="275"/>
      <c r="I156" s="275"/>
      <c r="J156" s="275"/>
      <c r="K156" s="275"/>
      <c r="L156" s="275"/>
      <c r="M156" s="275"/>
      <c r="N156" s="275"/>
      <c r="O156" s="275"/>
      <c r="P156" s="275"/>
      <c r="Q156" s="422">
        <f>Q158+Q157</f>
        <v>0</v>
      </c>
      <c r="R156" s="405"/>
      <c r="S156" s="285"/>
      <c r="T156" s="285"/>
    </row>
    <row r="157" spans="1:21" s="2" customFormat="1" ht="23.25" customHeight="1">
      <c r="A157" s="338"/>
      <c r="B157" s="492"/>
      <c r="C157" s="10" t="s">
        <v>732</v>
      </c>
      <c r="D157" s="790">
        <v>0</v>
      </c>
      <c r="E157" s="790">
        <f>Q157</f>
        <v>0</v>
      </c>
      <c r="F157" s="790">
        <f>E157-D157</f>
        <v>0</v>
      </c>
      <c r="G157" s="231" t="s">
        <v>733</v>
      </c>
      <c r="H157" s="488">
        <v>0</v>
      </c>
      <c r="I157" s="231" t="s">
        <v>526</v>
      </c>
      <c r="J157" s="172" t="s">
        <v>598</v>
      </c>
      <c r="K157" s="231" t="s">
        <v>598</v>
      </c>
      <c r="L157" s="172" t="s">
        <v>598</v>
      </c>
      <c r="M157" s="172" t="s">
        <v>598</v>
      </c>
      <c r="N157" s="231" t="s">
        <v>598</v>
      </c>
      <c r="O157" s="172" t="s">
        <v>598</v>
      </c>
      <c r="P157" s="159" t="s">
        <v>540</v>
      </c>
      <c r="Q157" s="361">
        <f>H157</f>
        <v>0</v>
      </c>
      <c r="R157" s="405"/>
      <c r="S157" s="285"/>
      <c r="T157" s="285"/>
    </row>
    <row r="158" spans="1:21" s="2" customFormat="1" ht="23.25" customHeight="1" thickBot="1">
      <c r="A158" s="390"/>
      <c r="B158" s="352"/>
      <c r="C158" s="232" t="s">
        <v>373</v>
      </c>
      <c r="D158" s="800">
        <v>0</v>
      </c>
      <c r="E158" s="800">
        <f>Q158</f>
        <v>0</v>
      </c>
      <c r="F158" s="800">
        <f t="shared" si="7"/>
        <v>0</v>
      </c>
      <c r="G158" s="233" t="s">
        <v>734</v>
      </c>
      <c r="H158" s="234">
        <v>0</v>
      </c>
      <c r="I158" s="233" t="s">
        <v>735</v>
      </c>
      <c r="J158" s="235" t="s">
        <v>736</v>
      </c>
      <c r="K158" s="233" t="s">
        <v>736</v>
      </c>
      <c r="L158" s="235" t="s">
        <v>736</v>
      </c>
      <c r="M158" s="235" t="s">
        <v>736</v>
      </c>
      <c r="N158" s="233" t="s">
        <v>736</v>
      </c>
      <c r="O158" s="235" t="s">
        <v>736</v>
      </c>
      <c r="P158" s="236" t="s">
        <v>737</v>
      </c>
      <c r="Q158" s="365">
        <f>H158</f>
        <v>0</v>
      </c>
      <c r="R158" s="419"/>
      <c r="S158" s="291"/>
      <c r="T158" s="285"/>
    </row>
    <row r="159" spans="1:21" s="2" customFormat="1" ht="23.25" customHeight="1">
      <c r="A159" s="1099" t="s">
        <v>738</v>
      </c>
      <c r="B159" s="1100"/>
      <c r="C159" s="1101"/>
      <c r="D159" s="862">
        <v>0</v>
      </c>
      <c r="E159" s="807">
        <f>E160</f>
        <v>0</v>
      </c>
      <c r="F159" s="807">
        <f t="shared" si="7"/>
        <v>0</v>
      </c>
      <c r="G159" s="237"/>
      <c r="H159" s="238"/>
      <c r="I159" s="238"/>
      <c r="J159" s="238"/>
      <c r="K159" s="238"/>
      <c r="L159" s="238"/>
      <c r="M159" s="238"/>
      <c r="N159" s="238"/>
      <c r="O159" s="389"/>
      <c r="P159" s="1176">
        <f>O160</f>
        <v>0</v>
      </c>
      <c r="Q159" s="1177"/>
      <c r="R159" s="408"/>
      <c r="S159" s="287">
        <f>P159</f>
        <v>0</v>
      </c>
      <c r="T159" s="285"/>
    </row>
    <row r="160" spans="1:21" s="2" customFormat="1" ht="23.25" customHeight="1">
      <c r="A160" s="348"/>
      <c r="B160" s="1169" t="s">
        <v>739</v>
      </c>
      <c r="C160" s="1165"/>
      <c r="D160" s="855">
        <v>0</v>
      </c>
      <c r="E160" s="782">
        <f>E161+E162</f>
        <v>0</v>
      </c>
      <c r="F160" s="782">
        <f t="shared" si="7"/>
        <v>0</v>
      </c>
      <c r="G160" s="158"/>
      <c r="H160" s="156"/>
      <c r="I160" s="156"/>
      <c r="J160" s="156"/>
      <c r="K160" s="156"/>
      <c r="L160" s="156"/>
      <c r="M160" s="156"/>
      <c r="N160" s="156"/>
      <c r="O160" s="1167">
        <f>Q161+Q162</f>
        <v>0</v>
      </c>
      <c r="P160" s="1167"/>
      <c r="Q160" s="1168"/>
      <c r="R160" s="405"/>
      <c r="S160" s="285"/>
      <c r="T160" s="285"/>
    </row>
    <row r="161" spans="1:20" s="2" customFormat="1" ht="23.25" customHeight="1">
      <c r="A161" s="387"/>
      <c r="B161" s="230"/>
      <c r="C161" s="10" t="s">
        <v>740</v>
      </c>
      <c r="D161" s="788">
        <v>0</v>
      </c>
      <c r="E161" s="790">
        <f>Q161</f>
        <v>0</v>
      </c>
      <c r="F161" s="790">
        <f t="shared" si="7"/>
        <v>0</v>
      </c>
      <c r="G161" s="494" t="s">
        <v>164</v>
      </c>
      <c r="H161" s="495">
        <v>0</v>
      </c>
      <c r="I161" s="54" t="s">
        <v>0</v>
      </c>
      <c r="J161" s="54" t="s">
        <v>1</v>
      </c>
      <c r="K161" s="61"/>
      <c r="L161" s="54"/>
      <c r="M161" s="54" t="s">
        <v>1</v>
      </c>
      <c r="N161" s="56">
        <v>0</v>
      </c>
      <c r="O161" s="54" t="s">
        <v>12</v>
      </c>
      <c r="P161" s="54"/>
      <c r="Q161" s="347">
        <f>H161*N161</f>
        <v>0</v>
      </c>
      <c r="R161" s="405"/>
      <c r="S161" s="285"/>
      <c r="T161" s="285"/>
    </row>
    <row r="162" spans="1:20" s="2" customFormat="1" ht="26.25" customHeight="1" thickBot="1">
      <c r="A162" s="390"/>
      <c r="B162" s="493"/>
      <c r="C162" s="391" t="s">
        <v>385</v>
      </c>
      <c r="D162" s="800">
        <v>0</v>
      </c>
      <c r="E162" s="800">
        <f>Q162</f>
        <v>0</v>
      </c>
      <c r="F162" s="813">
        <f t="shared" si="7"/>
        <v>0</v>
      </c>
      <c r="G162" s="393" t="s">
        <v>741</v>
      </c>
      <c r="H162" s="496">
        <v>0</v>
      </c>
      <c r="I162" s="497" t="s">
        <v>671</v>
      </c>
      <c r="J162" s="497" t="s">
        <v>672</v>
      </c>
      <c r="K162" s="498"/>
      <c r="L162" s="497"/>
      <c r="M162" s="497" t="s">
        <v>672</v>
      </c>
      <c r="N162" s="499">
        <v>0</v>
      </c>
      <c r="O162" s="497" t="s">
        <v>742</v>
      </c>
      <c r="P162" s="497"/>
      <c r="Q162" s="365">
        <f>H162*N162</f>
        <v>0</v>
      </c>
      <c r="R162" s="405"/>
      <c r="S162" s="285"/>
      <c r="T162" s="285"/>
    </row>
    <row r="163" spans="1:20" s="2" customFormat="1" ht="24" customHeight="1">
      <c r="A163" s="1134" t="s">
        <v>743</v>
      </c>
      <c r="B163" s="1135"/>
      <c r="C163" s="1135"/>
      <c r="D163" s="869">
        <v>0</v>
      </c>
      <c r="E163" s="814">
        <f>E164</f>
        <v>0</v>
      </c>
      <c r="F163" s="815">
        <f t="shared" si="7"/>
        <v>0</v>
      </c>
      <c r="G163" s="502"/>
      <c r="H163" s="503"/>
      <c r="I163" s="503"/>
      <c r="J163" s="503"/>
      <c r="K163" s="503"/>
      <c r="L163" s="503"/>
      <c r="M163" s="503"/>
      <c r="N163" s="504"/>
      <c r="O163" s="503"/>
      <c r="P163" s="503"/>
      <c r="Q163" s="505">
        <f>Q164</f>
        <v>0</v>
      </c>
      <c r="R163" s="405"/>
      <c r="S163" s="287">
        <f>Q163</f>
        <v>0</v>
      </c>
      <c r="T163" s="285"/>
    </row>
    <row r="164" spans="1:20" s="2" customFormat="1" ht="27" customHeight="1">
      <c r="A164" s="506"/>
      <c r="B164" s="1136" t="s">
        <v>384</v>
      </c>
      <c r="C164" s="1137"/>
      <c r="D164" s="870">
        <v>0</v>
      </c>
      <c r="E164" s="802">
        <f>E165+E167</f>
        <v>0</v>
      </c>
      <c r="F164" s="816">
        <f t="shared" si="7"/>
        <v>0</v>
      </c>
      <c r="G164" s="130"/>
      <c r="H164" s="131"/>
      <c r="I164" s="131"/>
      <c r="J164" s="131"/>
      <c r="K164" s="131"/>
      <c r="L164" s="131"/>
      <c r="M164" s="131"/>
      <c r="N164" s="453"/>
      <c r="O164" s="131"/>
      <c r="P164" s="131"/>
      <c r="Q164" s="507">
        <f>Q165+Q167</f>
        <v>0</v>
      </c>
      <c r="R164" s="405"/>
      <c r="S164" s="285"/>
      <c r="T164" s="285"/>
    </row>
    <row r="165" spans="1:20" s="2" customFormat="1" ht="24" customHeight="1">
      <c r="A165" s="508"/>
      <c r="B165" s="75"/>
      <c r="C165" s="1056" t="s">
        <v>381</v>
      </c>
      <c r="D165" s="1058">
        <v>0</v>
      </c>
      <c r="E165" s="1061">
        <f>Q165</f>
        <v>0</v>
      </c>
      <c r="F165" s="1063">
        <f t="shared" si="7"/>
        <v>0</v>
      </c>
      <c r="G165" s="112" t="s">
        <v>744</v>
      </c>
      <c r="H165" s="70"/>
      <c r="I165" s="71"/>
      <c r="J165" s="20"/>
      <c r="K165" s="32"/>
      <c r="L165" s="21"/>
      <c r="M165" s="21"/>
      <c r="N165" s="454"/>
      <c r="O165" s="20"/>
      <c r="P165" s="20" t="s">
        <v>687</v>
      </c>
      <c r="Q165" s="509">
        <f>Q166</f>
        <v>0</v>
      </c>
      <c r="R165" s="405"/>
      <c r="S165" s="285"/>
      <c r="T165" s="285"/>
    </row>
    <row r="166" spans="1:20" s="2" customFormat="1" ht="24" customHeight="1">
      <c r="A166" s="508"/>
      <c r="B166" s="76"/>
      <c r="C166" s="1057"/>
      <c r="D166" s="1059"/>
      <c r="E166" s="1061"/>
      <c r="F166" s="1078"/>
      <c r="G166" s="485" t="s">
        <v>745</v>
      </c>
      <c r="H166" s="151">
        <f>Q161</f>
        <v>0</v>
      </c>
      <c r="I166" s="12" t="s">
        <v>533</v>
      </c>
      <c r="J166" s="12"/>
      <c r="K166" s="64"/>
      <c r="L166" s="65"/>
      <c r="M166" s="65"/>
      <c r="N166" s="456"/>
      <c r="O166" s="12"/>
      <c r="P166" s="12" t="s">
        <v>559</v>
      </c>
      <c r="Q166" s="510">
        <f>H166</f>
        <v>0</v>
      </c>
      <c r="R166" s="405"/>
      <c r="S166" s="285"/>
      <c r="T166" s="285"/>
    </row>
    <row r="167" spans="1:20" s="2" customFormat="1" ht="24" customHeight="1">
      <c r="A167" s="508"/>
      <c r="B167" s="76"/>
      <c r="C167" s="1056" t="s">
        <v>746</v>
      </c>
      <c r="D167" s="1130">
        <v>0</v>
      </c>
      <c r="E167" s="1132">
        <f>Q167</f>
        <v>0</v>
      </c>
      <c r="F167" s="1063">
        <f>E167-D167</f>
        <v>0</v>
      </c>
      <c r="G167" s="105" t="s">
        <v>305</v>
      </c>
      <c r="H167" s="152"/>
      <c r="I167" s="153"/>
      <c r="J167" s="54"/>
      <c r="K167" s="154"/>
      <c r="L167" s="155"/>
      <c r="M167" s="155"/>
      <c r="N167" s="457"/>
      <c r="O167" s="54"/>
      <c r="P167" s="54" t="s">
        <v>3</v>
      </c>
      <c r="Q167" s="511">
        <f>Q168</f>
        <v>0</v>
      </c>
      <c r="R167" s="405"/>
      <c r="S167" s="285"/>
      <c r="T167" s="285"/>
    </row>
    <row r="168" spans="1:20" s="2" customFormat="1" ht="24" customHeight="1" thickBot="1">
      <c r="A168" s="512"/>
      <c r="B168" s="513"/>
      <c r="C168" s="1129"/>
      <c r="D168" s="1131"/>
      <c r="E168" s="1133"/>
      <c r="F168" s="1064"/>
      <c r="G168" s="514" t="s">
        <v>747</v>
      </c>
      <c r="H168" s="515">
        <f>Q162</f>
        <v>0</v>
      </c>
      <c r="I168" s="372" t="s">
        <v>671</v>
      </c>
      <c r="J168" s="372"/>
      <c r="K168" s="516"/>
      <c r="L168" s="517"/>
      <c r="M168" s="517"/>
      <c r="N168" s="518"/>
      <c r="O168" s="372"/>
      <c r="P168" s="372" t="s">
        <v>674</v>
      </c>
      <c r="Q168" s="519">
        <f>H168</f>
        <v>0</v>
      </c>
      <c r="R168" s="405"/>
      <c r="S168" s="285"/>
      <c r="T168" s="285"/>
    </row>
    <row r="169" spans="1:20" s="2" customFormat="1" ht="15.75" customHeight="1">
      <c r="D169" s="283"/>
      <c r="E169" s="283"/>
      <c r="F169" s="283"/>
      <c r="H169" s="98"/>
      <c r="P169" s="3"/>
    </row>
    <row r="170" spans="1:20" s="2" customFormat="1" ht="15.75" customHeight="1">
      <c r="D170" s="283"/>
      <c r="E170" s="283"/>
      <c r="F170" s="283"/>
      <c r="H170" s="98"/>
      <c r="P170" s="3"/>
    </row>
    <row r="171" spans="1:20" s="2" customFormat="1" ht="15.75" customHeight="1">
      <c r="D171" s="283"/>
      <c r="E171" s="283"/>
      <c r="F171" s="283"/>
      <c r="H171" s="98"/>
      <c r="P171" s="3"/>
    </row>
    <row r="172" spans="1:20" s="2" customFormat="1" ht="15.75" customHeight="1">
      <c r="D172" s="283"/>
      <c r="E172" s="283"/>
      <c r="F172" s="283"/>
      <c r="H172" s="98"/>
      <c r="P172" s="3"/>
    </row>
    <row r="173" spans="1:20" s="2" customFormat="1" ht="15.75" customHeight="1">
      <c r="D173" s="283"/>
      <c r="E173" s="283"/>
      <c r="F173" s="283"/>
      <c r="H173" s="98"/>
      <c r="P173" s="3"/>
    </row>
    <row r="174" spans="1:20" s="2" customFormat="1" ht="15.75" customHeight="1">
      <c r="D174" s="283"/>
      <c r="E174" s="283"/>
      <c r="F174" s="283"/>
      <c r="H174" s="98"/>
      <c r="P174" s="3"/>
    </row>
    <row r="175" spans="1:20" s="2" customFormat="1" ht="15.75" customHeight="1">
      <c r="D175" s="283"/>
      <c r="E175" s="283"/>
      <c r="F175" s="283"/>
      <c r="H175" s="98"/>
      <c r="P175" s="3"/>
    </row>
    <row r="176" spans="1:20" s="2" customFormat="1" ht="15.75" customHeight="1">
      <c r="D176" s="283"/>
      <c r="E176" s="283"/>
      <c r="F176" s="283"/>
      <c r="H176" s="98"/>
      <c r="P176" s="3"/>
    </row>
    <row r="177" spans="4:16" s="2" customFormat="1" ht="15.75" customHeight="1">
      <c r="D177" s="283"/>
      <c r="E177" s="283"/>
      <c r="F177" s="283"/>
      <c r="H177" s="98"/>
      <c r="P177" s="3"/>
    </row>
    <row r="178" spans="4:16" s="2" customFormat="1" ht="15.75" customHeight="1">
      <c r="D178" s="283"/>
      <c r="E178" s="283"/>
      <c r="F178" s="283"/>
      <c r="H178" s="98"/>
      <c r="P178" s="3"/>
    </row>
    <row r="179" spans="4:16" s="2" customFormat="1" ht="15.75" customHeight="1">
      <c r="D179" s="283"/>
      <c r="E179" s="283"/>
      <c r="F179" s="283"/>
      <c r="H179" s="98"/>
      <c r="P179" s="3"/>
    </row>
    <row r="180" spans="4:16" s="2" customFormat="1" ht="15.75" customHeight="1">
      <c r="D180" s="283"/>
      <c r="E180" s="283"/>
      <c r="F180" s="283"/>
      <c r="H180" s="98"/>
      <c r="P180" s="3"/>
    </row>
    <row r="181" spans="4:16" s="2" customFormat="1" ht="15.75" customHeight="1">
      <c r="D181" s="283"/>
      <c r="E181" s="283"/>
      <c r="F181" s="283"/>
      <c r="H181" s="98"/>
      <c r="P181" s="3"/>
    </row>
    <row r="182" spans="4:16" s="2" customFormat="1" ht="15.75" customHeight="1">
      <c r="D182" s="283"/>
      <c r="E182" s="283"/>
      <c r="F182" s="283"/>
      <c r="H182" s="98"/>
      <c r="P182" s="3"/>
    </row>
    <row r="183" spans="4:16" s="2" customFormat="1" ht="15.75" customHeight="1">
      <c r="D183" s="283"/>
      <c r="E183" s="283"/>
      <c r="F183" s="283"/>
      <c r="H183" s="98"/>
      <c r="P183" s="3"/>
    </row>
    <row r="184" spans="4:16" s="2" customFormat="1" ht="15.75" customHeight="1">
      <c r="D184" s="283"/>
      <c r="E184" s="283"/>
      <c r="F184" s="283"/>
      <c r="H184" s="98"/>
      <c r="P184" s="3"/>
    </row>
    <row r="185" spans="4:16" s="2" customFormat="1" ht="15.75" customHeight="1">
      <c r="D185" s="283"/>
      <c r="E185" s="283"/>
      <c r="F185" s="283"/>
      <c r="H185" s="98"/>
      <c r="P185" s="3"/>
    </row>
    <row r="186" spans="4:16" s="2" customFormat="1" ht="15.75" customHeight="1">
      <c r="D186" s="283"/>
      <c r="E186" s="283"/>
      <c r="F186" s="283"/>
      <c r="H186" s="98"/>
      <c r="P186" s="3"/>
    </row>
    <row r="187" spans="4:16" s="2" customFormat="1" ht="15.75" customHeight="1">
      <c r="D187" s="283"/>
      <c r="E187" s="283"/>
      <c r="F187" s="283"/>
      <c r="H187" s="98"/>
      <c r="P187" s="3"/>
    </row>
    <row r="188" spans="4:16" s="2" customFormat="1" ht="15.75" customHeight="1">
      <c r="D188" s="283"/>
      <c r="E188" s="283"/>
      <c r="F188" s="283"/>
      <c r="H188" s="98"/>
      <c r="P188" s="3"/>
    </row>
    <row r="189" spans="4:16" s="2" customFormat="1" ht="15.75" customHeight="1">
      <c r="D189" s="283"/>
      <c r="E189" s="283"/>
      <c r="F189" s="283"/>
      <c r="H189" s="98"/>
      <c r="P189" s="3"/>
    </row>
    <row r="190" spans="4:16" s="2" customFormat="1" ht="15.75" customHeight="1">
      <c r="D190" s="283"/>
      <c r="E190" s="283"/>
      <c r="F190" s="283"/>
      <c r="H190" s="98"/>
      <c r="P190" s="3"/>
    </row>
    <row r="191" spans="4:16" s="2" customFormat="1" ht="15.75" customHeight="1">
      <c r="D191" s="283"/>
      <c r="E191" s="283"/>
      <c r="F191" s="283"/>
      <c r="H191" s="98"/>
      <c r="P191" s="3"/>
    </row>
    <row r="192" spans="4:16" s="2" customFormat="1" ht="15.75" customHeight="1">
      <c r="D192" s="283"/>
      <c r="E192" s="283"/>
      <c r="F192" s="283"/>
      <c r="H192" s="98"/>
      <c r="P192" s="3"/>
    </row>
    <row r="193" spans="4:16" s="2" customFormat="1" ht="15.75" customHeight="1">
      <c r="D193" s="283"/>
      <c r="E193" s="283"/>
      <c r="F193" s="283"/>
      <c r="H193" s="98"/>
      <c r="P193" s="3"/>
    </row>
    <row r="194" spans="4:16" s="2" customFormat="1" ht="15.75" customHeight="1">
      <c r="D194" s="283"/>
      <c r="E194" s="283"/>
      <c r="F194" s="283"/>
      <c r="H194" s="98"/>
      <c r="P194" s="3"/>
    </row>
    <row r="195" spans="4:16" s="2" customFormat="1" ht="15.75" customHeight="1">
      <c r="D195" s="283"/>
      <c r="E195" s="283"/>
      <c r="F195" s="283"/>
      <c r="H195" s="98"/>
      <c r="P195" s="3"/>
    </row>
    <row r="196" spans="4:16" s="2" customFormat="1" ht="15.75" customHeight="1">
      <c r="D196" s="283"/>
      <c r="E196" s="283"/>
      <c r="F196" s="283"/>
      <c r="H196" s="98"/>
      <c r="P196" s="3"/>
    </row>
    <row r="197" spans="4:16" s="2" customFormat="1" ht="15.75" customHeight="1">
      <c r="D197" s="283"/>
      <c r="E197" s="283"/>
      <c r="F197" s="283"/>
      <c r="H197" s="98"/>
      <c r="P197" s="3"/>
    </row>
    <row r="198" spans="4:16" s="2" customFormat="1" ht="15.75" customHeight="1">
      <c r="D198" s="283"/>
      <c r="E198" s="283"/>
      <c r="F198" s="283"/>
      <c r="H198" s="98"/>
      <c r="P198" s="3"/>
    </row>
    <row r="199" spans="4:16" s="2" customFormat="1" ht="15.75" customHeight="1">
      <c r="D199" s="283"/>
      <c r="E199" s="283"/>
      <c r="F199" s="283"/>
      <c r="H199" s="98"/>
      <c r="P199" s="3"/>
    </row>
    <row r="200" spans="4:16" s="2" customFormat="1" ht="15.75" customHeight="1">
      <c r="D200" s="283"/>
      <c r="E200" s="283"/>
      <c r="F200" s="283"/>
      <c r="H200" s="98"/>
      <c r="P200" s="3"/>
    </row>
    <row r="201" spans="4:16" s="2" customFormat="1" ht="15.75" customHeight="1">
      <c r="D201" s="283"/>
      <c r="E201" s="283"/>
      <c r="F201" s="283"/>
      <c r="H201" s="98"/>
      <c r="P201" s="3"/>
    </row>
    <row r="202" spans="4:16" s="2" customFormat="1" ht="15.75" customHeight="1">
      <c r="D202" s="283"/>
      <c r="E202" s="283"/>
      <c r="F202" s="283"/>
      <c r="H202" s="98"/>
      <c r="P202" s="3"/>
    </row>
    <row r="203" spans="4:16" s="2" customFormat="1" ht="15.75" customHeight="1">
      <c r="D203" s="283"/>
      <c r="E203" s="283"/>
      <c r="F203" s="283"/>
      <c r="H203" s="98"/>
      <c r="P203" s="3"/>
    </row>
    <row r="204" spans="4:16" s="2" customFormat="1" ht="15.75" customHeight="1">
      <c r="D204" s="283"/>
      <c r="E204" s="283"/>
      <c r="F204" s="283"/>
      <c r="H204" s="98"/>
      <c r="P204" s="3"/>
    </row>
    <row r="205" spans="4:16" s="2" customFormat="1" ht="15.75" customHeight="1">
      <c r="D205" s="283"/>
      <c r="E205" s="283"/>
      <c r="F205" s="283"/>
      <c r="H205" s="98"/>
      <c r="P205" s="3"/>
    </row>
    <row r="206" spans="4:16" s="2" customFormat="1" ht="15.75" customHeight="1">
      <c r="D206" s="283"/>
      <c r="E206" s="283"/>
      <c r="F206" s="283"/>
      <c r="H206" s="98"/>
      <c r="P206" s="3"/>
    </row>
    <row r="207" spans="4:16" s="2" customFormat="1" ht="15.75" customHeight="1">
      <c r="D207" s="283"/>
      <c r="E207" s="283"/>
      <c r="F207" s="283"/>
      <c r="H207" s="98"/>
      <c r="P207" s="3"/>
    </row>
    <row r="208" spans="4:16" s="2" customFormat="1" ht="15.75" customHeight="1">
      <c r="D208" s="283"/>
      <c r="E208" s="283"/>
      <c r="F208" s="283"/>
      <c r="H208" s="98"/>
      <c r="P208" s="3"/>
    </row>
    <row r="209" spans="4:16" s="2" customFormat="1" ht="15.75" customHeight="1">
      <c r="D209" s="283"/>
      <c r="E209" s="283"/>
      <c r="F209" s="283"/>
      <c r="H209" s="98"/>
      <c r="P209" s="3"/>
    </row>
    <row r="210" spans="4:16" s="2" customFormat="1" ht="15.75" customHeight="1">
      <c r="D210" s="283"/>
      <c r="E210" s="283"/>
      <c r="F210" s="283"/>
      <c r="H210" s="98"/>
      <c r="P210" s="3"/>
    </row>
    <row r="211" spans="4:16" s="2" customFormat="1" ht="15.75" customHeight="1">
      <c r="D211" s="283"/>
      <c r="E211" s="283"/>
      <c r="F211" s="283"/>
      <c r="H211" s="98"/>
      <c r="P211" s="3"/>
    </row>
    <row r="212" spans="4:16" s="2" customFormat="1" ht="15.75" customHeight="1">
      <c r="D212" s="283"/>
      <c r="E212" s="283"/>
      <c r="F212" s="283"/>
      <c r="H212" s="98"/>
      <c r="P212" s="3"/>
    </row>
    <row r="213" spans="4:16" s="2" customFormat="1" ht="15.75" customHeight="1">
      <c r="D213" s="283"/>
      <c r="E213" s="283"/>
      <c r="F213" s="283"/>
      <c r="H213" s="98"/>
      <c r="P213" s="3"/>
    </row>
    <row r="214" spans="4:16" s="2" customFormat="1" ht="15.75" customHeight="1">
      <c r="D214" s="283"/>
      <c r="E214" s="283"/>
      <c r="F214" s="283"/>
      <c r="H214" s="98"/>
      <c r="P214" s="3"/>
    </row>
    <row r="215" spans="4:16" s="2" customFormat="1" ht="15.75" customHeight="1">
      <c r="D215" s="283"/>
      <c r="E215" s="283"/>
      <c r="F215" s="283"/>
      <c r="H215" s="98"/>
      <c r="P215" s="3"/>
    </row>
    <row r="216" spans="4:16" s="2" customFormat="1" ht="15.75" customHeight="1">
      <c r="D216" s="283"/>
      <c r="E216" s="283"/>
      <c r="F216" s="283"/>
      <c r="H216" s="98"/>
      <c r="P216" s="3"/>
    </row>
    <row r="217" spans="4:16" s="2" customFormat="1" ht="15.75" customHeight="1">
      <c r="D217" s="283"/>
      <c r="E217" s="283"/>
      <c r="F217" s="283"/>
      <c r="H217" s="98"/>
      <c r="P217" s="3"/>
    </row>
    <row r="218" spans="4:16" s="2" customFormat="1" ht="15.75" customHeight="1">
      <c r="D218" s="283"/>
      <c r="E218" s="283"/>
      <c r="F218" s="283"/>
      <c r="H218" s="98"/>
      <c r="P218" s="3"/>
    </row>
    <row r="219" spans="4:16" s="2" customFormat="1" ht="15.75" customHeight="1">
      <c r="D219" s="283"/>
      <c r="E219" s="283"/>
      <c r="F219" s="283"/>
      <c r="H219" s="98"/>
      <c r="P219" s="3"/>
    </row>
    <row r="220" spans="4:16" s="2" customFormat="1" ht="15.75" customHeight="1">
      <c r="D220" s="283"/>
      <c r="E220" s="283"/>
      <c r="F220" s="283"/>
      <c r="H220" s="98"/>
      <c r="P220" s="3"/>
    </row>
    <row r="221" spans="4:16" s="2" customFormat="1" ht="15.75" customHeight="1">
      <c r="D221" s="283"/>
      <c r="E221" s="283"/>
      <c r="F221" s="283"/>
      <c r="H221" s="98"/>
      <c r="P221" s="3"/>
    </row>
    <row r="222" spans="4:16" s="2" customFormat="1" ht="15.75" customHeight="1">
      <c r="D222" s="283"/>
      <c r="E222" s="283"/>
      <c r="F222" s="283"/>
      <c r="H222" s="98"/>
      <c r="P222" s="3"/>
    </row>
    <row r="223" spans="4:16" s="2" customFormat="1" ht="15.75" customHeight="1">
      <c r="D223" s="283"/>
      <c r="E223" s="283"/>
      <c r="F223" s="283"/>
      <c r="H223" s="98"/>
      <c r="P223" s="3"/>
    </row>
    <row r="224" spans="4:16" s="2" customFormat="1" ht="15.75" customHeight="1">
      <c r="D224" s="283"/>
      <c r="E224" s="283"/>
      <c r="F224" s="283"/>
      <c r="H224" s="98"/>
      <c r="P224" s="3"/>
    </row>
    <row r="225" spans="4:16" s="2" customFormat="1" ht="15.75" customHeight="1">
      <c r="D225" s="283"/>
      <c r="E225" s="283"/>
      <c r="F225" s="283"/>
      <c r="H225" s="98"/>
      <c r="P225" s="3"/>
    </row>
    <row r="226" spans="4:16" s="2" customFormat="1" ht="15.75" customHeight="1">
      <c r="D226" s="283"/>
      <c r="E226" s="283"/>
      <c r="F226" s="283"/>
      <c r="H226" s="98"/>
      <c r="P226" s="3"/>
    </row>
    <row r="227" spans="4:16" s="2" customFormat="1" ht="15.75" customHeight="1">
      <c r="D227" s="283"/>
      <c r="E227" s="283"/>
      <c r="F227" s="283"/>
      <c r="H227" s="98"/>
      <c r="P227" s="3"/>
    </row>
    <row r="228" spans="4:16" s="2" customFormat="1" ht="15.75" customHeight="1">
      <c r="D228" s="283"/>
      <c r="E228" s="283"/>
      <c r="F228" s="283"/>
      <c r="H228" s="98"/>
      <c r="P228" s="3"/>
    </row>
    <row r="229" spans="4:16" s="2" customFormat="1" ht="15.75" customHeight="1">
      <c r="D229" s="283"/>
      <c r="E229" s="283"/>
      <c r="F229" s="283"/>
      <c r="H229" s="98"/>
      <c r="P229" s="3"/>
    </row>
    <row r="230" spans="4:16" s="2" customFormat="1" ht="15.75" customHeight="1">
      <c r="D230" s="283"/>
      <c r="E230" s="283"/>
      <c r="F230" s="283"/>
      <c r="H230" s="98"/>
      <c r="P230" s="3"/>
    </row>
    <row r="231" spans="4:16" s="2" customFormat="1" ht="15.75" customHeight="1">
      <c r="D231" s="283"/>
      <c r="E231" s="283"/>
      <c r="F231" s="283"/>
      <c r="H231" s="98"/>
      <c r="P231" s="3"/>
    </row>
    <row r="232" spans="4:16" s="2" customFormat="1" ht="15.75" customHeight="1">
      <c r="D232" s="283"/>
      <c r="E232" s="283"/>
      <c r="F232" s="283"/>
      <c r="H232" s="98"/>
      <c r="P232" s="3"/>
    </row>
    <row r="233" spans="4:16" s="2" customFormat="1" ht="15.75" customHeight="1">
      <c r="D233" s="283"/>
      <c r="E233" s="283"/>
      <c r="F233" s="283"/>
      <c r="H233" s="98"/>
      <c r="P233" s="3"/>
    </row>
    <row r="234" spans="4:16" s="2" customFormat="1" ht="15.75" customHeight="1">
      <c r="D234" s="283"/>
      <c r="E234" s="283"/>
      <c r="F234" s="283"/>
      <c r="H234" s="98"/>
      <c r="P234" s="3"/>
    </row>
    <row r="235" spans="4:16" s="2" customFormat="1" ht="15.75" customHeight="1">
      <c r="D235" s="283"/>
      <c r="E235" s="283"/>
      <c r="F235" s="283"/>
      <c r="H235" s="98"/>
      <c r="P235" s="3"/>
    </row>
    <row r="236" spans="4:16" s="2" customFormat="1" ht="15.75" customHeight="1">
      <c r="D236" s="283"/>
      <c r="E236" s="283"/>
      <c r="F236" s="283"/>
      <c r="H236" s="98"/>
      <c r="P236" s="3"/>
    </row>
    <row r="237" spans="4:16" s="2" customFormat="1" ht="15.75" customHeight="1">
      <c r="D237" s="283"/>
      <c r="E237" s="283"/>
      <c r="F237" s="283"/>
      <c r="H237" s="98"/>
      <c r="P237" s="3"/>
    </row>
    <row r="238" spans="4:16" s="2" customFormat="1" ht="15.75" customHeight="1">
      <c r="D238" s="283"/>
      <c r="E238" s="283"/>
      <c r="F238" s="283"/>
      <c r="H238" s="98"/>
      <c r="P238" s="3"/>
    </row>
    <row r="239" spans="4:16" s="2" customFormat="1" ht="15.75" customHeight="1">
      <c r="D239" s="283"/>
      <c r="E239" s="283"/>
      <c r="F239" s="283"/>
      <c r="H239" s="98"/>
      <c r="P239" s="3"/>
    </row>
    <row r="240" spans="4:16" s="2" customFormat="1" ht="15.75" customHeight="1">
      <c r="D240" s="283"/>
      <c r="E240" s="283"/>
      <c r="F240" s="283"/>
      <c r="H240" s="98"/>
      <c r="P240" s="3"/>
    </row>
    <row r="241" spans="4:16" s="2" customFormat="1" ht="15.75" customHeight="1">
      <c r="D241" s="283"/>
      <c r="E241" s="283"/>
      <c r="F241" s="283"/>
      <c r="H241" s="98"/>
      <c r="P241" s="3"/>
    </row>
    <row r="242" spans="4:16" s="2" customFormat="1" ht="15.75" customHeight="1">
      <c r="D242" s="283"/>
      <c r="E242" s="283"/>
      <c r="F242" s="283"/>
      <c r="H242" s="98"/>
      <c r="P242" s="3"/>
    </row>
    <row r="243" spans="4:16" s="2" customFormat="1" ht="15.75" customHeight="1">
      <c r="D243" s="283"/>
      <c r="E243" s="283"/>
      <c r="F243" s="283"/>
      <c r="H243" s="98"/>
      <c r="P243" s="3"/>
    </row>
    <row r="244" spans="4:16" s="2" customFormat="1" ht="15.75" customHeight="1">
      <c r="D244" s="283"/>
      <c r="E244" s="283"/>
      <c r="F244" s="283"/>
      <c r="H244" s="98"/>
      <c r="P244" s="3"/>
    </row>
    <row r="245" spans="4:16" s="2" customFormat="1" ht="15.75" customHeight="1">
      <c r="D245" s="283"/>
      <c r="E245" s="283"/>
      <c r="F245" s="283"/>
      <c r="H245" s="98"/>
      <c r="P245" s="3"/>
    </row>
    <row r="246" spans="4:16" s="2" customFormat="1" ht="15.75" customHeight="1">
      <c r="D246" s="283"/>
      <c r="E246" s="283"/>
      <c r="F246" s="283"/>
      <c r="H246" s="98"/>
      <c r="P246" s="3"/>
    </row>
    <row r="247" spans="4:16" s="2" customFormat="1" ht="15.75" customHeight="1">
      <c r="D247" s="283"/>
      <c r="E247" s="283"/>
      <c r="F247" s="283"/>
      <c r="H247" s="98"/>
      <c r="P247" s="3"/>
    </row>
    <row r="248" spans="4:16" s="2" customFormat="1" ht="15.75" customHeight="1">
      <c r="D248" s="283"/>
      <c r="E248" s="283"/>
      <c r="F248" s="283"/>
      <c r="H248" s="98"/>
      <c r="P248" s="3"/>
    </row>
    <row r="249" spans="4:16" s="2" customFormat="1" ht="15.75" customHeight="1">
      <c r="D249" s="283"/>
      <c r="E249" s="283"/>
      <c r="F249" s="283"/>
      <c r="H249" s="98"/>
      <c r="P249" s="3"/>
    </row>
    <row r="250" spans="4:16" s="2" customFormat="1" ht="15.75" customHeight="1">
      <c r="D250" s="283"/>
      <c r="E250" s="283"/>
      <c r="F250" s="283"/>
      <c r="H250" s="98"/>
      <c r="P250" s="3"/>
    </row>
    <row r="251" spans="4:16" s="2" customFormat="1" ht="15.75" customHeight="1">
      <c r="D251" s="283"/>
      <c r="E251" s="283"/>
      <c r="F251" s="283"/>
      <c r="H251" s="98"/>
      <c r="P251" s="3"/>
    </row>
    <row r="252" spans="4:16" s="2" customFormat="1" ht="15.75" customHeight="1">
      <c r="D252" s="283"/>
      <c r="E252" s="283"/>
      <c r="F252" s="283"/>
      <c r="H252" s="98"/>
      <c r="P252" s="3"/>
    </row>
    <row r="253" spans="4:16" s="2" customFormat="1" ht="15.75" customHeight="1">
      <c r="D253" s="283"/>
      <c r="E253" s="283"/>
      <c r="F253" s="283"/>
      <c r="H253" s="98"/>
      <c r="P253" s="3"/>
    </row>
    <row r="254" spans="4:16" s="2" customFormat="1" ht="15.75" customHeight="1">
      <c r="D254" s="283"/>
      <c r="E254" s="283"/>
      <c r="F254" s="283"/>
      <c r="H254" s="98"/>
      <c r="P254" s="3"/>
    </row>
    <row r="255" spans="4:16" s="2" customFormat="1" ht="15.75" customHeight="1">
      <c r="D255" s="283"/>
      <c r="E255" s="283"/>
      <c r="F255" s="283"/>
      <c r="H255" s="98"/>
      <c r="P255" s="3"/>
    </row>
    <row r="256" spans="4:16" s="2" customFormat="1" ht="15.75" customHeight="1">
      <c r="D256" s="283"/>
      <c r="E256" s="283"/>
      <c r="F256" s="283"/>
      <c r="H256" s="98"/>
      <c r="P256" s="3"/>
    </row>
    <row r="257" spans="4:16" s="2" customFormat="1" ht="15.75" customHeight="1">
      <c r="D257" s="283"/>
      <c r="E257" s="283"/>
      <c r="F257" s="283"/>
      <c r="H257" s="98"/>
      <c r="P257" s="3"/>
    </row>
    <row r="258" spans="4:16" s="2" customFormat="1" ht="15.75" customHeight="1">
      <c r="D258" s="283"/>
      <c r="E258" s="283"/>
      <c r="F258" s="283"/>
      <c r="H258" s="98"/>
      <c r="P258" s="3"/>
    </row>
    <row r="259" spans="4:16" s="2" customFormat="1" ht="15.75" customHeight="1">
      <c r="D259" s="283"/>
      <c r="E259" s="283"/>
      <c r="F259" s="283"/>
      <c r="H259" s="98"/>
      <c r="P259" s="3"/>
    </row>
    <row r="260" spans="4:16" s="2" customFormat="1" ht="15.75" customHeight="1">
      <c r="D260" s="283"/>
      <c r="E260" s="283"/>
      <c r="F260" s="283"/>
      <c r="H260" s="98"/>
      <c r="P260" s="3"/>
    </row>
    <row r="261" spans="4:16" s="2" customFormat="1" ht="15.75" customHeight="1">
      <c r="D261" s="283"/>
      <c r="E261" s="283"/>
      <c r="F261" s="283"/>
      <c r="H261" s="98"/>
      <c r="P261" s="3"/>
    </row>
    <row r="262" spans="4:16" s="2" customFormat="1" ht="15.75" customHeight="1">
      <c r="D262" s="283"/>
      <c r="E262" s="283"/>
      <c r="F262" s="283"/>
      <c r="H262" s="98"/>
      <c r="P262" s="3"/>
    </row>
    <row r="263" spans="4:16" s="2" customFormat="1" ht="15.75" customHeight="1">
      <c r="D263" s="283"/>
      <c r="E263" s="283"/>
      <c r="F263" s="283"/>
      <c r="H263" s="98"/>
      <c r="P263" s="3"/>
    </row>
    <row r="264" spans="4:16" s="2" customFormat="1" ht="15.75" customHeight="1">
      <c r="D264" s="283"/>
      <c r="E264" s="283"/>
      <c r="F264" s="283"/>
      <c r="H264" s="98"/>
      <c r="P264" s="3"/>
    </row>
    <row r="265" spans="4:16" s="2" customFormat="1" ht="15.75" customHeight="1">
      <c r="D265" s="283"/>
      <c r="E265" s="283"/>
      <c r="F265" s="283"/>
      <c r="H265" s="98"/>
      <c r="P265" s="3"/>
    </row>
    <row r="266" spans="4:16" s="2" customFormat="1" ht="15.75" customHeight="1">
      <c r="D266" s="283"/>
      <c r="E266" s="283"/>
      <c r="F266" s="283"/>
      <c r="H266" s="98"/>
      <c r="P266" s="3"/>
    </row>
    <row r="267" spans="4:16" s="2" customFormat="1" ht="15.75" customHeight="1">
      <c r="D267" s="283"/>
      <c r="E267" s="283"/>
      <c r="F267" s="283"/>
      <c r="H267" s="98"/>
      <c r="P267" s="3"/>
    </row>
    <row r="268" spans="4:16" s="2" customFormat="1" ht="15.75" customHeight="1">
      <c r="D268" s="283"/>
      <c r="E268" s="283"/>
      <c r="F268" s="283"/>
      <c r="H268" s="98"/>
      <c r="P268" s="3"/>
    </row>
    <row r="269" spans="4:16" s="2" customFormat="1" ht="15.75" customHeight="1">
      <c r="D269" s="283"/>
      <c r="E269" s="283"/>
      <c r="F269" s="283"/>
      <c r="H269" s="98"/>
      <c r="P269" s="3"/>
    </row>
    <row r="270" spans="4:16" s="2" customFormat="1" ht="15.75" customHeight="1">
      <c r="D270" s="283"/>
      <c r="E270" s="283"/>
      <c r="F270" s="283"/>
      <c r="H270" s="98"/>
      <c r="P270" s="3"/>
    </row>
    <row r="271" spans="4:16" s="2" customFormat="1" ht="15.75" customHeight="1">
      <c r="D271" s="283"/>
      <c r="E271" s="283"/>
      <c r="F271" s="283"/>
      <c r="H271" s="98"/>
      <c r="P271" s="3"/>
    </row>
    <row r="272" spans="4:16" s="2" customFormat="1" ht="15.75" customHeight="1">
      <c r="D272" s="283"/>
      <c r="E272" s="283"/>
      <c r="F272" s="283"/>
      <c r="H272" s="98"/>
      <c r="P272" s="3"/>
    </row>
    <row r="273" spans="4:16" s="2" customFormat="1" ht="15.75" customHeight="1">
      <c r="D273" s="283"/>
      <c r="E273" s="283"/>
      <c r="F273" s="283"/>
      <c r="H273" s="98"/>
      <c r="P273" s="3"/>
    </row>
    <row r="274" spans="4:16" s="2" customFormat="1" ht="15.75" customHeight="1">
      <c r="D274" s="283"/>
      <c r="E274" s="283"/>
      <c r="F274" s="283"/>
      <c r="H274" s="98"/>
      <c r="P274" s="3"/>
    </row>
    <row r="275" spans="4:16" s="2" customFormat="1" ht="15.75" customHeight="1">
      <c r="D275" s="283"/>
      <c r="E275" s="283"/>
      <c r="F275" s="283"/>
      <c r="H275" s="98"/>
      <c r="P275" s="3"/>
    </row>
    <row r="276" spans="4:16" s="2" customFormat="1" ht="15.75" customHeight="1">
      <c r="D276" s="283"/>
      <c r="E276" s="283"/>
      <c r="F276" s="283"/>
      <c r="H276" s="98"/>
      <c r="P276" s="3"/>
    </row>
    <row r="277" spans="4:16" s="2" customFormat="1" ht="15.75" customHeight="1">
      <c r="D277" s="283"/>
      <c r="E277" s="283"/>
      <c r="F277" s="283"/>
      <c r="H277" s="98"/>
      <c r="P277" s="3"/>
    </row>
    <row r="278" spans="4:16" s="2" customFormat="1" ht="15.75" customHeight="1">
      <c r="D278" s="283"/>
      <c r="E278" s="283"/>
      <c r="F278" s="283"/>
      <c r="H278" s="98"/>
      <c r="P278" s="3"/>
    </row>
    <row r="279" spans="4:16" s="2" customFormat="1" ht="15.75" customHeight="1">
      <c r="D279" s="283"/>
      <c r="E279" s="283"/>
      <c r="F279" s="283"/>
      <c r="H279" s="98"/>
      <c r="P279" s="3"/>
    </row>
    <row r="280" spans="4:16" s="2" customFormat="1" ht="15.75" customHeight="1">
      <c r="D280" s="283"/>
      <c r="E280" s="283"/>
      <c r="F280" s="283"/>
      <c r="H280" s="98"/>
      <c r="P280" s="3"/>
    </row>
    <row r="281" spans="4:16" s="2" customFormat="1" ht="15.75" customHeight="1">
      <c r="D281" s="283"/>
      <c r="E281" s="283"/>
      <c r="F281" s="283"/>
      <c r="H281" s="98"/>
      <c r="P281" s="3"/>
    </row>
    <row r="282" spans="4:16" s="2" customFormat="1" ht="15.75" customHeight="1">
      <c r="D282" s="283"/>
      <c r="E282" s="283"/>
      <c r="F282" s="283"/>
      <c r="H282" s="98"/>
      <c r="P282" s="3"/>
    </row>
    <row r="283" spans="4:16" s="2" customFormat="1" ht="15.75" customHeight="1">
      <c r="D283" s="283"/>
      <c r="E283" s="283"/>
      <c r="F283" s="283"/>
      <c r="H283" s="98"/>
      <c r="P283" s="3"/>
    </row>
    <row r="284" spans="4:16" s="2" customFormat="1" ht="15.75" customHeight="1">
      <c r="D284" s="283"/>
      <c r="E284" s="283"/>
      <c r="F284" s="283"/>
      <c r="H284" s="98"/>
      <c r="P284" s="3"/>
    </row>
    <row r="285" spans="4:16" s="2" customFormat="1" ht="15.75" customHeight="1">
      <c r="D285" s="283"/>
      <c r="E285" s="283"/>
      <c r="F285" s="283"/>
      <c r="H285" s="98"/>
      <c r="P285" s="3"/>
    </row>
    <row r="286" spans="4:16" s="2" customFormat="1" ht="15.75" customHeight="1">
      <c r="D286" s="283"/>
      <c r="E286" s="283"/>
      <c r="F286" s="283"/>
      <c r="H286" s="98"/>
      <c r="P286" s="3"/>
    </row>
    <row r="287" spans="4:16" s="2" customFormat="1" ht="15.75" customHeight="1">
      <c r="D287" s="283"/>
      <c r="E287" s="283"/>
      <c r="F287" s="283"/>
      <c r="H287" s="98"/>
      <c r="P287" s="3"/>
    </row>
    <row r="288" spans="4:16" s="2" customFormat="1" ht="15.75" customHeight="1">
      <c r="D288" s="283"/>
      <c r="E288" s="283"/>
      <c r="F288" s="283"/>
      <c r="H288" s="98"/>
      <c r="P288" s="3"/>
    </row>
    <row r="289" spans="4:16" s="2" customFormat="1" ht="15.75" customHeight="1">
      <c r="D289" s="283"/>
      <c r="E289" s="283"/>
      <c r="F289" s="283"/>
      <c r="H289" s="98"/>
      <c r="P289" s="3"/>
    </row>
    <row r="290" spans="4:16" s="2" customFormat="1" ht="15.75" customHeight="1">
      <c r="D290" s="283"/>
      <c r="E290" s="283"/>
      <c r="F290" s="283"/>
      <c r="H290" s="98"/>
      <c r="P290" s="3"/>
    </row>
    <row r="291" spans="4:16" s="2" customFormat="1" ht="15.75" customHeight="1">
      <c r="D291" s="283"/>
      <c r="E291" s="283"/>
      <c r="F291" s="283"/>
      <c r="H291" s="98"/>
      <c r="P291" s="3"/>
    </row>
    <row r="292" spans="4:16" s="2" customFormat="1" ht="15.75" customHeight="1">
      <c r="D292" s="283"/>
      <c r="E292" s="283"/>
      <c r="F292" s="283"/>
      <c r="H292" s="98"/>
      <c r="P292" s="3"/>
    </row>
    <row r="293" spans="4:16" s="2" customFormat="1" ht="15.75" customHeight="1">
      <c r="D293" s="283"/>
      <c r="E293" s="283"/>
      <c r="F293" s="283"/>
      <c r="H293" s="98"/>
      <c r="P293" s="3"/>
    </row>
    <row r="294" spans="4:16" s="2" customFormat="1" ht="15.75" customHeight="1">
      <c r="D294" s="283"/>
      <c r="E294" s="283"/>
      <c r="F294" s="283"/>
      <c r="H294" s="98"/>
      <c r="P294" s="3"/>
    </row>
    <row r="295" spans="4:16" s="2" customFormat="1" ht="15.75" customHeight="1">
      <c r="D295" s="283"/>
      <c r="E295" s="283"/>
      <c r="F295" s="283"/>
      <c r="H295" s="98"/>
      <c r="P295" s="3"/>
    </row>
    <row r="296" spans="4:16" s="2" customFormat="1" ht="15.75" customHeight="1">
      <c r="D296" s="283"/>
      <c r="E296" s="283"/>
      <c r="F296" s="283"/>
      <c r="H296" s="98"/>
      <c r="P296" s="3"/>
    </row>
    <row r="297" spans="4:16" s="2" customFormat="1" ht="15.75" customHeight="1">
      <c r="D297" s="283"/>
      <c r="E297" s="283"/>
      <c r="F297" s="283"/>
      <c r="H297" s="98"/>
      <c r="P297" s="3"/>
    </row>
    <row r="298" spans="4:16" s="2" customFormat="1" ht="15.75" customHeight="1">
      <c r="D298" s="283"/>
      <c r="E298" s="283"/>
      <c r="F298" s="283"/>
      <c r="H298" s="98"/>
      <c r="P298" s="3"/>
    </row>
    <row r="299" spans="4:16" s="2" customFormat="1" ht="15.75" customHeight="1">
      <c r="D299" s="283"/>
      <c r="E299" s="283"/>
      <c r="F299" s="283"/>
      <c r="H299" s="98"/>
      <c r="P299" s="3"/>
    </row>
    <row r="300" spans="4:16" s="2" customFormat="1" ht="15.75" customHeight="1">
      <c r="D300" s="283"/>
      <c r="E300" s="283"/>
      <c r="F300" s="283"/>
      <c r="H300" s="98"/>
      <c r="P300" s="3"/>
    </row>
    <row r="301" spans="4:16" s="2" customFormat="1" ht="15.75" customHeight="1">
      <c r="D301" s="283"/>
      <c r="E301" s="283"/>
      <c r="F301" s="283"/>
      <c r="H301" s="98"/>
      <c r="P301" s="3"/>
    </row>
    <row r="302" spans="4:16" s="2" customFormat="1" ht="15.75" customHeight="1">
      <c r="D302" s="283"/>
      <c r="E302" s="283"/>
      <c r="F302" s="283"/>
      <c r="H302" s="98"/>
      <c r="P302" s="3"/>
    </row>
    <row r="303" spans="4:16" s="2" customFormat="1" ht="15.75" customHeight="1">
      <c r="D303" s="283"/>
      <c r="E303" s="283"/>
      <c r="F303" s="283"/>
      <c r="H303" s="98"/>
      <c r="P303" s="3"/>
    </row>
    <row r="304" spans="4:16" s="2" customFormat="1" ht="15.75" customHeight="1">
      <c r="D304" s="283"/>
      <c r="E304" s="283"/>
      <c r="F304" s="283"/>
      <c r="H304" s="98"/>
      <c r="P304" s="3"/>
    </row>
    <row r="305" spans="4:16" s="2" customFormat="1" ht="15.75" customHeight="1">
      <c r="D305" s="283"/>
      <c r="E305" s="283"/>
      <c r="F305" s="283"/>
      <c r="H305" s="98"/>
      <c r="P305" s="3"/>
    </row>
    <row r="306" spans="4:16" s="2" customFormat="1" ht="15.75" customHeight="1">
      <c r="D306" s="283"/>
      <c r="E306" s="283"/>
      <c r="F306" s="283"/>
      <c r="H306" s="98"/>
      <c r="P306" s="3"/>
    </row>
    <row r="307" spans="4:16" s="2" customFormat="1" ht="15.75" customHeight="1">
      <c r="D307" s="283"/>
      <c r="E307" s="283"/>
      <c r="F307" s="283"/>
      <c r="H307" s="98"/>
      <c r="P307" s="3"/>
    </row>
    <row r="308" spans="4:16" s="2" customFormat="1" ht="15.75" customHeight="1">
      <c r="D308" s="283"/>
      <c r="E308" s="283"/>
      <c r="F308" s="283"/>
      <c r="H308" s="98"/>
      <c r="P308" s="3"/>
    </row>
    <row r="309" spans="4:16" s="2" customFormat="1" ht="15.75" customHeight="1">
      <c r="D309" s="283"/>
      <c r="E309" s="283"/>
      <c r="F309" s="283"/>
      <c r="H309" s="98"/>
      <c r="P309" s="3"/>
    </row>
    <row r="310" spans="4:16" s="2" customFormat="1" ht="15.75" customHeight="1">
      <c r="D310" s="283"/>
      <c r="E310" s="283"/>
      <c r="F310" s="283"/>
      <c r="H310" s="98"/>
      <c r="P310" s="3"/>
    </row>
    <row r="311" spans="4:16" s="2" customFormat="1" ht="15.75" customHeight="1">
      <c r="D311" s="283"/>
      <c r="E311" s="283"/>
      <c r="F311" s="283"/>
      <c r="H311" s="98"/>
      <c r="P311" s="3"/>
    </row>
    <row r="312" spans="4:16" s="2" customFormat="1" ht="15.75" customHeight="1">
      <c r="D312" s="283"/>
      <c r="E312" s="283"/>
      <c r="F312" s="283"/>
      <c r="H312" s="98"/>
      <c r="P312" s="3"/>
    </row>
    <row r="313" spans="4:16" s="2" customFormat="1" ht="15.75" customHeight="1">
      <c r="D313" s="283"/>
      <c r="E313" s="283"/>
      <c r="F313" s="283"/>
      <c r="H313" s="98"/>
      <c r="P313" s="3"/>
    </row>
    <row r="314" spans="4:16" s="2" customFormat="1" ht="15.75" customHeight="1">
      <c r="D314" s="283"/>
      <c r="E314" s="283"/>
      <c r="F314" s="283"/>
      <c r="H314" s="98"/>
      <c r="P314" s="3"/>
    </row>
    <row r="315" spans="4:16" s="2" customFormat="1" ht="15.75" customHeight="1">
      <c r="D315" s="283"/>
      <c r="E315" s="283"/>
      <c r="F315" s="283"/>
      <c r="H315" s="98"/>
      <c r="P315" s="3"/>
    </row>
    <row r="316" spans="4:16" s="2" customFormat="1" ht="15.75" customHeight="1">
      <c r="D316" s="283"/>
      <c r="E316" s="283"/>
      <c r="F316" s="283"/>
      <c r="H316" s="98"/>
      <c r="P316" s="3"/>
    </row>
    <row r="317" spans="4:16" s="2" customFormat="1" ht="15.75" customHeight="1">
      <c r="D317" s="283"/>
      <c r="E317" s="283"/>
      <c r="F317" s="283"/>
      <c r="H317" s="98"/>
      <c r="P317" s="3"/>
    </row>
    <row r="318" spans="4:16" s="2" customFormat="1" ht="15.75" customHeight="1">
      <c r="D318" s="283"/>
      <c r="E318" s="283"/>
      <c r="F318" s="283"/>
      <c r="H318" s="98"/>
      <c r="P318" s="3"/>
    </row>
    <row r="319" spans="4:16" s="2" customFormat="1" ht="15.75" customHeight="1">
      <c r="D319" s="283"/>
      <c r="E319" s="283"/>
      <c r="F319" s="283"/>
      <c r="H319" s="98"/>
      <c r="P319" s="3"/>
    </row>
    <row r="320" spans="4:16" s="2" customFormat="1" ht="15.75" customHeight="1">
      <c r="D320" s="283"/>
      <c r="E320" s="283"/>
      <c r="F320" s="283"/>
      <c r="H320" s="98"/>
      <c r="P320" s="3"/>
    </row>
    <row r="321" spans="4:16" s="2" customFormat="1" ht="15.75" customHeight="1">
      <c r="D321" s="283"/>
      <c r="E321" s="283"/>
      <c r="F321" s="283"/>
      <c r="H321" s="98"/>
      <c r="P321" s="3"/>
    </row>
    <row r="322" spans="4:16" s="2" customFormat="1" ht="15.75" customHeight="1">
      <c r="D322" s="283"/>
      <c r="E322" s="283"/>
      <c r="F322" s="283"/>
      <c r="H322" s="98"/>
      <c r="P322" s="3"/>
    </row>
    <row r="323" spans="4:16" s="2" customFormat="1" ht="15.75" customHeight="1">
      <c r="D323" s="283"/>
      <c r="E323" s="283"/>
      <c r="F323" s="283"/>
      <c r="H323" s="98"/>
      <c r="P323" s="3"/>
    </row>
    <row r="324" spans="4:16" s="2" customFormat="1" ht="15.75" customHeight="1">
      <c r="D324" s="283"/>
      <c r="E324" s="283"/>
      <c r="F324" s="283"/>
      <c r="H324" s="98"/>
      <c r="P324" s="3"/>
    </row>
    <row r="325" spans="4:16" s="2" customFormat="1" ht="15.75" customHeight="1">
      <c r="D325" s="283"/>
      <c r="E325" s="283"/>
      <c r="F325" s="283"/>
      <c r="H325" s="98"/>
      <c r="P325" s="3"/>
    </row>
    <row r="326" spans="4:16" s="2" customFormat="1" ht="15.75" customHeight="1">
      <c r="D326" s="283"/>
      <c r="E326" s="283"/>
      <c r="F326" s="283"/>
      <c r="H326" s="98"/>
      <c r="P326" s="3"/>
    </row>
    <row r="327" spans="4:16" s="2" customFormat="1" ht="15.75" customHeight="1">
      <c r="D327" s="283"/>
      <c r="E327" s="283"/>
      <c r="F327" s="283"/>
      <c r="H327" s="98"/>
      <c r="P327" s="3"/>
    </row>
    <row r="328" spans="4:16" s="2" customFormat="1" ht="15.75" customHeight="1">
      <c r="D328" s="283"/>
      <c r="E328" s="283"/>
      <c r="F328" s="283"/>
      <c r="H328" s="98"/>
      <c r="P328" s="3"/>
    </row>
    <row r="329" spans="4:16" s="2" customFormat="1" ht="15.75" customHeight="1">
      <c r="D329" s="283"/>
      <c r="E329" s="283"/>
      <c r="F329" s="283"/>
      <c r="H329" s="98"/>
      <c r="P329" s="3"/>
    </row>
    <row r="330" spans="4:16" s="2" customFormat="1" ht="15.75" customHeight="1">
      <c r="D330" s="283"/>
      <c r="E330" s="283"/>
      <c r="F330" s="283"/>
      <c r="H330" s="98"/>
      <c r="P330" s="3"/>
    </row>
    <row r="331" spans="4:16" s="2" customFormat="1" ht="15.75" customHeight="1">
      <c r="D331" s="283"/>
      <c r="E331" s="283"/>
      <c r="F331" s="283"/>
      <c r="H331" s="98"/>
      <c r="P331" s="3"/>
    </row>
    <row r="332" spans="4:16" s="2" customFormat="1" ht="15.75" customHeight="1">
      <c r="D332" s="283"/>
      <c r="E332" s="283"/>
      <c r="F332" s="283"/>
      <c r="H332" s="98"/>
      <c r="P332" s="3"/>
    </row>
    <row r="333" spans="4:16" s="2" customFormat="1" ht="15.75" customHeight="1">
      <c r="D333" s="283"/>
      <c r="E333" s="283"/>
      <c r="F333" s="283"/>
      <c r="H333" s="98"/>
      <c r="P333" s="3"/>
    </row>
    <row r="334" spans="4:16" s="2" customFormat="1" ht="15.75" customHeight="1">
      <c r="D334" s="283"/>
      <c r="E334" s="283"/>
      <c r="F334" s="283"/>
      <c r="H334" s="98"/>
      <c r="P334" s="3"/>
    </row>
    <row r="335" spans="4:16" s="2" customFormat="1" ht="15.75" customHeight="1">
      <c r="D335" s="283"/>
      <c r="E335" s="283"/>
      <c r="F335" s="283"/>
      <c r="H335" s="98"/>
      <c r="P335" s="3"/>
    </row>
    <row r="336" spans="4:16" s="2" customFormat="1" ht="15.75" customHeight="1">
      <c r="D336" s="283"/>
      <c r="E336" s="283"/>
      <c r="F336" s="283"/>
      <c r="H336" s="98"/>
      <c r="P336" s="3"/>
    </row>
    <row r="337" spans="4:16" s="2" customFormat="1" ht="15.75" customHeight="1">
      <c r="D337" s="283"/>
      <c r="E337" s="283"/>
      <c r="F337" s="283"/>
      <c r="H337" s="98"/>
      <c r="P337" s="3"/>
    </row>
    <row r="338" spans="4:16" s="2" customFormat="1" ht="15.75" customHeight="1">
      <c r="D338" s="283"/>
      <c r="E338" s="283"/>
      <c r="F338" s="283"/>
      <c r="H338" s="98"/>
      <c r="P338" s="3"/>
    </row>
    <row r="339" spans="4:16" s="2" customFormat="1" ht="15.75" customHeight="1">
      <c r="D339" s="283"/>
      <c r="E339" s="283"/>
      <c r="F339" s="283"/>
      <c r="H339" s="98"/>
      <c r="P339" s="3"/>
    </row>
    <row r="340" spans="4:16" s="2" customFormat="1" ht="15.75" customHeight="1">
      <c r="D340" s="283"/>
      <c r="E340" s="283"/>
      <c r="F340" s="283"/>
      <c r="H340" s="98"/>
      <c r="P340" s="3"/>
    </row>
    <row r="341" spans="4:16" s="2" customFormat="1" ht="15.75" customHeight="1">
      <c r="D341" s="283"/>
      <c r="E341" s="283"/>
      <c r="F341" s="283"/>
      <c r="H341" s="98"/>
      <c r="P341" s="3"/>
    </row>
    <row r="342" spans="4:16" s="2" customFormat="1" ht="15.75" customHeight="1">
      <c r="D342" s="283"/>
      <c r="E342" s="283"/>
      <c r="F342" s="283"/>
      <c r="H342" s="98"/>
      <c r="P342" s="3"/>
    </row>
    <row r="343" spans="4:16" s="2" customFormat="1" ht="15.75" customHeight="1">
      <c r="D343" s="283"/>
      <c r="E343" s="283"/>
      <c r="F343" s="283"/>
      <c r="H343" s="98"/>
      <c r="P343" s="3"/>
    </row>
    <row r="344" spans="4:16" s="2" customFormat="1" ht="15.75" customHeight="1">
      <c r="D344" s="283"/>
      <c r="E344" s="283"/>
      <c r="F344" s="283"/>
      <c r="H344" s="98"/>
      <c r="P344" s="3"/>
    </row>
    <row r="345" spans="4:16" s="2" customFormat="1" ht="15.75" customHeight="1">
      <c r="D345" s="283"/>
      <c r="E345" s="283"/>
      <c r="F345" s="283"/>
      <c r="H345" s="98"/>
      <c r="P345" s="3"/>
    </row>
    <row r="346" spans="4:16" s="2" customFormat="1" ht="15.75" customHeight="1">
      <c r="D346" s="283"/>
      <c r="E346" s="283"/>
      <c r="F346" s="283"/>
      <c r="H346" s="98"/>
      <c r="P346" s="3"/>
    </row>
    <row r="347" spans="4:16" s="2" customFormat="1" ht="15.75" customHeight="1">
      <c r="D347" s="283"/>
      <c r="E347" s="283"/>
      <c r="F347" s="283"/>
      <c r="H347" s="98"/>
      <c r="P347" s="3"/>
    </row>
    <row r="348" spans="4:16" s="2" customFormat="1" ht="15.75" customHeight="1">
      <c r="D348" s="283"/>
      <c r="E348" s="283"/>
      <c r="F348" s="283"/>
      <c r="H348" s="98"/>
      <c r="P348" s="3"/>
    </row>
    <row r="349" spans="4:16" s="2" customFormat="1" ht="15.75" customHeight="1">
      <c r="D349" s="283"/>
      <c r="E349" s="283"/>
      <c r="F349" s="283"/>
      <c r="H349" s="98"/>
      <c r="P349" s="3"/>
    </row>
    <row r="350" spans="4:16" s="2" customFormat="1" ht="15.75" customHeight="1">
      <c r="D350" s="283"/>
      <c r="E350" s="283"/>
      <c r="F350" s="283"/>
      <c r="H350" s="98"/>
      <c r="P350" s="3"/>
    </row>
    <row r="351" spans="4:16" s="2" customFormat="1" ht="15.75" customHeight="1">
      <c r="D351" s="283"/>
      <c r="E351" s="283"/>
      <c r="F351" s="283"/>
      <c r="H351" s="98"/>
      <c r="P351" s="3"/>
    </row>
    <row r="352" spans="4:16" s="2" customFormat="1" ht="15.75" customHeight="1">
      <c r="D352" s="283"/>
      <c r="E352" s="283"/>
      <c r="F352" s="283"/>
      <c r="H352" s="98"/>
      <c r="P352" s="3"/>
    </row>
    <row r="353" spans="1:17" s="2" customFormat="1" ht="15.75" customHeight="1">
      <c r="D353" s="283"/>
      <c r="E353" s="283"/>
      <c r="F353" s="283"/>
      <c r="H353" s="98"/>
      <c r="P353" s="3"/>
    </row>
    <row r="354" spans="1:17" s="2" customFormat="1" ht="15.75" customHeight="1">
      <c r="D354" s="283"/>
      <c r="E354" s="283"/>
      <c r="F354" s="283"/>
      <c r="H354" s="98"/>
      <c r="P354" s="3"/>
    </row>
    <row r="355" spans="1:17" s="2" customFormat="1" ht="15.75" customHeight="1">
      <c r="D355" s="283"/>
      <c r="E355" s="283"/>
      <c r="F355" s="283"/>
      <c r="H355" s="98"/>
      <c r="P355" s="3"/>
    </row>
    <row r="356" spans="1:17" s="2" customFormat="1" ht="15.75" customHeight="1">
      <c r="D356" s="283"/>
      <c r="E356" s="283"/>
      <c r="F356" s="283"/>
      <c r="H356" s="98"/>
      <c r="P356" s="3"/>
    </row>
    <row r="357" spans="1:17" s="2" customFormat="1" ht="15.75" customHeight="1">
      <c r="D357" s="283"/>
      <c r="E357" s="283"/>
      <c r="F357" s="283"/>
      <c r="H357" s="98"/>
      <c r="P357" s="3"/>
    </row>
    <row r="358" spans="1:17" s="2" customFormat="1" ht="15.75" customHeight="1">
      <c r="D358" s="283"/>
      <c r="E358" s="283"/>
      <c r="F358" s="283"/>
      <c r="H358" s="98"/>
      <c r="P358" s="3"/>
    </row>
    <row r="359" spans="1:17" s="2" customFormat="1" ht="15.75" customHeight="1">
      <c r="D359" s="283"/>
      <c r="E359" s="283"/>
      <c r="F359" s="283"/>
      <c r="H359" s="98"/>
      <c r="P359" s="3"/>
    </row>
    <row r="360" spans="1:17" s="2" customFormat="1" ht="15.75" customHeight="1">
      <c r="D360" s="283"/>
      <c r="E360" s="283"/>
      <c r="F360" s="283"/>
      <c r="H360" s="98"/>
      <c r="P360" s="3"/>
    </row>
    <row r="361" spans="1:17" s="2" customFormat="1" ht="15.75" customHeight="1">
      <c r="D361" s="283"/>
      <c r="E361" s="283"/>
      <c r="F361" s="283"/>
      <c r="H361" s="98"/>
      <c r="P361" s="3"/>
    </row>
    <row r="362" spans="1:17" s="2" customFormat="1" ht="15.75" customHeight="1">
      <c r="D362" s="283"/>
      <c r="E362" s="283"/>
      <c r="F362" s="283"/>
      <c r="H362" s="98"/>
      <c r="P362" s="3"/>
    </row>
    <row r="363" spans="1:17" s="2" customFormat="1" ht="15.75" customHeight="1">
      <c r="D363" s="283"/>
      <c r="E363" s="283"/>
      <c r="F363" s="283"/>
      <c r="H363" s="98"/>
      <c r="P363" s="3"/>
    </row>
    <row r="364" spans="1:17" s="2" customFormat="1" ht="15.75" customHeight="1">
      <c r="A364" s="1"/>
      <c r="D364" s="283"/>
      <c r="E364" s="283"/>
      <c r="F364" s="283"/>
      <c r="H364" s="98"/>
      <c r="P364" s="3"/>
    </row>
    <row r="365" spans="1:17" s="2" customFormat="1" ht="15.75" customHeight="1">
      <c r="A365" s="1"/>
      <c r="B365" s="1"/>
      <c r="C365" s="1"/>
      <c r="D365" s="817"/>
      <c r="E365" s="817"/>
      <c r="F365" s="817"/>
      <c r="G365" s="1"/>
      <c r="H365" s="99"/>
      <c r="I365" s="1"/>
      <c r="J365" s="1"/>
      <c r="K365" s="1"/>
      <c r="L365" s="1"/>
      <c r="M365" s="1"/>
      <c r="N365" s="1"/>
      <c r="O365" s="1"/>
      <c r="P365" s="26"/>
      <c r="Q365" s="1"/>
    </row>
    <row r="366" spans="1:17" s="2" customFormat="1" ht="15.75" customHeight="1">
      <c r="A366" s="1"/>
      <c r="B366" s="1"/>
      <c r="C366" s="1"/>
      <c r="D366" s="817"/>
      <c r="E366" s="817"/>
      <c r="F366" s="817"/>
      <c r="G366" s="1"/>
      <c r="H366" s="99"/>
      <c r="I366" s="1"/>
      <c r="J366" s="1"/>
      <c r="K366" s="1"/>
      <c r="L366" s="1"/>
      <c r="M366" s="1"/>
      <c r="N366" s="1"/>
      <c r="O366" s="1"/>
      <c r="P366" s="26"/>
      <c r="Q366" s="1"/>
    </row>
    <row r="367" spans="1:17" s="2" customFormat="1" ht="15.75" customHeight="1">
      <c r="A367" s="1"/>
      <c r="B367" s="1"/>
      <c r="C367" s="1"/>
      <c r="D367" s="817"/>
      <c r="E367" s="817"/>
      <c r="F367" s="817"/>
      <c r="G367" s="1"/>
      <c r="H367" s="99"/>
      <c r="I367" s="1"/>
      <c r="J367" s="1"/>
      <c r="K367" s="1"/>
      <c r="L367" s="1"/>
      <c r="M367" s="1"/>
      <c r="N367" s="1"/>
      <c r="O367" s="1"/>
      <c r="P367" s="26"/>
      <c r="Q367" s="1"/>
    </row>
    <row r="368" spans="1:17" s="2" customFormat="1" ht="15.75" customHeight="1">
      <c r="A368" s="1"/>
      <c r="B368" s="1"/>
      <c r="C368" s="1"/>
      <c r="D368" s="817"/>
      <c r="E368" s="817"/>
      <c r="F368" s="817"/>
      <c r="G368" s="1"/>
      <c r="H368" s="99"/>
      <c r="I368" s="1"/>
      <c r="J368" s="1"/>
      <c r="K368" s="1"/>
      <c r="L368" s="1"/>
      <c r="M368" s="1"/>
      <c r="N368" s="1"/>
      <c r="O368" s="1"/>
      <c r="P368" s="26"/>
      <c r="Q368" s="1"/>
    </row>
    <row r="369" spans="1:17" s="2" customFormat="1" ht="15.75" customHeight="1">
      <c r="A369" s="1"/>
      <c r="B369" s="1"/>
      <c r="C369" s="1"/>
      <c r="D369" s="817"/>
      <c r="E369" s="817"/>
      <c r="F369" s="817"/>
      <c r="G369" s="1"/>
      <c r="H369" s="99"/>
      <c r="I369" s="1"/>
      <c r="J369" s="1"/>
      <c r="K369" s="1"/>
      <c r="L369" s="1"/>
      <c r="M369" s="1"/>
      <c r="N369" s="1"/>
      <c r="O369" s="1"/>
      <c r="P369" s="26"/>
      <c r="Q369" s="1"/>
    </row>
    <row r="370" spans="1:17" s="2" customFormat="1" ht="15.75" customHeight="1">
      <c r="A370" s="1"/>
      <c r="B370" s="1"/>
      <c r="C370" s="1"/>
      <c r="D370" s="817"/>
      <c r="E370" s="817"/>
      <c r="F370" s="817"/>
      <c r="G370" s="1"/>
      <c r="H370" s="99"/>
      <c r="I370" s="1"/>
      <c r="J370" s="1"/>
      <c r="K370" s="1"/>
      <c r="L370" s="1"/>
      <c r="M370" s="1"/>
      <c r="N370" s="1"/>
      <c r="O370" s="1"/>
      <c r="P370" s="26"/>
      <c r="Q370" s="1"/>
    </row>
    <row r="371" spans="1:17" s="2" customFormat="1" ht="15.75" customHeight="1">
      <c r="A371" s="1"/>
      <c r="B371" s="1"/>
      <c r="C371" s="1"/>
      <c r="D371" s="817"/>
      <c r="E371" s="817"/>
      <c r="F371" s="817"/>
      <c r="G371" s="1"/>
      <c r="H371" s="99"/>
      <c r="I371" s="1"/>
      <c r="J371" s="1"/>
      <c r="K371" s="1"/>
      <c r="L371" s="1"/>
      <c r="M371" s="1"/>
      <c r="N371" s="1"/>
      <c r="O371" s="1"/>
      <c r="P371" s="26"/>
      <c r="Q371" s="1"/>
    </row>
    <row r="372" spans="1:17" s="2" customFormat="1" ht="15.75" customHeight="1">
      <c r="A372" s="1"/>
      <c r="B372" s="1"/>
      <c r="C372" s="1"/>
      <c r="D372" s="817"/>
      <c r="E372" s="817"/>
      <c r="F372" s="817"/>
      <c r="G372" s="1"/>
      <c r="H372" s="99"/>
      <c r="I372" s="1"/>
      <c r="J372" s="1"/>
      <c r="K372" s="1"/>
      <c r="L372" s="1"/>
      <c r="M372" s="1"/>
      <c r="N372" s="1"/>
      <c r="O372" s="1"/>
      <c r="P372" s="26"/>
      <c r="Q372" s="1"/>
    </row>
    <row r="373" spans="1:17" s="2" customFormat="1" ht="15.75" customHeight="1">
      <c r="A373" s="1"/>
      <c r="B373" s="1"/>
      <c r="C373" s="1"/>
      <c r="D373" s="817"/>
      <c r="E373" s="817"/>
      <c r="F373" s="817"/>
      <c r="G373" s="1"/>
      <c r="H373" s="99"/>
      <c r="I373" s="1"/>
      <c r="J373" s="1"/>
      <c r="K373" s="1"/>
      <c r="L373" s="1"/>
      <c r="M373" s="1"/>
      <c r="N373" s="1"/>
      <c r="O373" s="1"/>
      <c r="P373" s="26"/>
      <c r="Q373" s="1"/>
    </row>
    <row r="374" spans="1:17" s="2" customFormat="1" ht="15.75" customHeight="1">
      <c r="A374" s="1"/>
      <c r="B374" s="1"/>
      <c r="C374" s="1"/>
      <c r="D374" s="817"/>
      <c r="E374" s="817"/>
      <c r="F374" s="817"/>
      <c r="G374" s="1"/>
      <c r="H374" s="99"/>
      <c r="I374" s="1"/>
      <c r="J374" s="1"/>
      <c r="K374" s="1"/>
      <c r="L374" s="1"/>
      <c r="M374" s="1"/>
      <c r="N374" s="1"/>
      <c r="O374" s="1"/>
      <c r="P374" s="26"/>
      <c r="Q374" s="1"/>
    </row>
    <row r="375" spans="1:17" s="2" customFormat="1" ht="15.75" customHeight="1">
      <c r="A375" s="1"/>
      <c r="B375" s="1"/>
      <c r="C375" s="1"/>
      <c r="D375" s="817"/>
      <c r="E375" s="817"/>
      <c r="F375" s="817"/>
      <c r="G375" s="1"/>
      <c r="H375" s="99"/>
      <c r="I375" s="1"/>
      <c r="J375" s="1"/>
      <c r="K375" s="1"/>
      <c r="L375" s="1"/>
      <c r="M375" s="1"/>
      <c r="N375" s="1"/>
      <c r="O375" s="1"/>
      <c r="P375" s="26"/>
      <c r="Q375" s="1"/>
    </row>
    <row r="376" spans="1:17" s="2" customFormat="1" ht="15.75" customHeight="1">
      <c r="A376" s="1"/>
      <c r="B376" s="1"/>
      <c r="C376" s="1"/>
      <c r="D376" s="817"/>
      <c r="E376" s="817"/>
      <c r="F376" s="817"/>
      <c r="G376" s="1"/>
      <c r="H376" s="99"/>
      <c r="I376" s="1"/>
      <c r="J376" s="1"/>
      <c r="K376" s="1"/>
      <c r="L376" s="1"/>
      <c r="M376" s="1"/>
      <c r="N376" s="1"/>
      <c r="O376" s="1"/>
      <c r="P376" s="26"/>
      <c r="Q376" s="1"/>
    </row>
    <row r="377" spans="1:17" s="2" customFormat="1" ht="15.75" customHeight="1">
      <c r="A377" s="1"/>
      <c r="B377" s="1"/>
      <c r="C377" s="1"/>
      <c r="D377" s="817"/>
      <c r="E377" s="817"/>
      <c r="F377" s="817"/>
      <c r="G377" s="1"/>
      <c r="H377" s="99"/>
      <c r="I377" s="1"/>
      <c r="J377" s="1"/>
      <c r="K377" s="1"/>
      <c r="L377" s="1"/>
      <c r="M377" s="1"/>
      <c r="N377" s="1"/>
      <c r="O377" s="1"/>
      <c r="P377" s="26"/>
      <c r="Q377" s="1"/>
    </row>
    <row r="378" spans="1:17" s="2" customFormat="1" ht="15.75" customHeight="1">
      <c r="A378" s="1"/>
      <c r="B378" s="1"/>
      <c r="C378" s="1"/>
      <c r="D378" s="817"/>
      <c r="E378" s="817"/>
      <c r="F378" s="817"/>
      <c r="G378" s="1"/>
      <c r="H378" s="99"/>
      <c r="I378" s="1"/>
      <c r="J378" s="1"/>
      <c r="K378" s="1"/>
      <c r="L378" s="1"/>
      <c r="M378" s="1"/>
      <c r="N378" s="1"/>
      <c r="O378" s="1"/>
      <c r="P378" s="26"/>
      <c r="Q378" s="1"/>
    </row>
    <row r="379" spans="1:17" s="2" customFormat="1" ht="15.75" customHeight="1">
      <c r="A379" s="1"/>
      <c r="B379" s="1"/>
      <c r="C379" s="1"/>
      <c r="D379" s="817"/>
      <c r="E379" s="817"/>
      <c r="F379" s="817"/>
      <c r="G379" s="1"/>
      <c r="H379" s="99"/>
      <c r="I379" s="1"/>
      <c r="J379" s="1"/>
      <c r="K379" s="1"/>
      <c r="L379" s="1"/>
      <c r="M379" s="1"/>
      <c r="N379" s="1"/>
      <c r="O379" s="1"/>
      <c r="P379" s="26"/>
      <c r="Q379" s="1"/>
    </row>
    <row r="380" spans="1:17" s="2" customFormat="1" ht="15.75" customHeight="1">
      <c r="A380" s="1"/>
      <c r="B380" s="1"/>
      <c r="C380" s="1"/>
      <c r="D380" s="817"/>
      <c r="E380" s="817"/>
      <c r="F380" s="817"/>
      <c r="G380" s="1"/>
      <c r="H380" s="99"/>
      <c r="I380" s="1"/>
      <c r="J380" s="1"/>
      <c r="K380" s="1"/>
      <c r="L380" s="1"/>
      <c r="M380" s="1"/>
      <c r="N380" s="1"/>
      <c r="O380" s="1"/>
      <c r="P380" s="26"/>
      <c r="Q380" s="1"/>
    </row>
    <row r="381" spans="1:17" s="2" customFormat="1" ht="15.75" customHeight="1">
      <c r="A381" s="1"/>
      <c r="B381" s="1"/>
      <c r="C381" s="1"/>
      <c r="D381" s="817"/>
      <c r="E381" s="817"/>
      <c r="F381" s="817"/>
      <c r="G381" s="1"/>
      <c r="H381" s="99"/>
      <c r="I381" s="1"/>
      <c r="J381" s="1"/>
      <c r="K381" s="1"/>
      <c r="L381" s="1"/>
      <c r="M381" s="1"/>
      <c r="N381" s="1"/>
      <c r="O381" s="1"/>
      <c r="P381" s="26"/>
      <c r="Q381" s="1"/>
    </row>
    <row r="382" spans="1:17" s="2" customFormat="1" ht="15.75" customHeight="1">
      <c r="A382" s="1"/>
      <c r="B382" s="1"/>
      <c r="C382" s="1"/>
      <c r="D382" s="817"/>
      <c r="E382" s="817"/>
      <c r="F382" s="817"/>
      <c r="G382" s="1"/>
      <c r="H382" s="99"/>
      <c r="I382" s="1"/>
      <c r="J382" s="1"/>
      <c r="K382" s="1"/>
      <c r="L382" s="1"/>
      <c r="M382" s="1"/>
      <c r="N382" s="1"/>
      <c r="O382" s="1"/>
      <c r="P382" s="26"/>
      <c r="Q382" s="1"/>
    </row>
    <row r="383" spans="1:17" s="2" customFormat="1" ht="15.75" customHeight="1">
      <c r="A383" s="1"/>
      <c r="B383" s="1"/>
      <c r="C383" s="1"/>
      <c r="D383" s="817"/>
      <c r="E383" s="817"/>
      <c r="F383" s="817"/>
      <c r="G383" s="1"/>
      <c r="H383" s="99"/>
      <c r="I383" s="1"/>
      <c r="J383" s="1"/>
      <c r="K383" s="1"/>
      <c r="L383" s="1"/>
      <c r="M383" s="1"/>
      <c r="N383" s="1"/>
      <c r="O383" s="1"/>
      <c r="P383" s="26"/>
      <c r="Q383" s="1"/>
    </row>
    <row r="384" spans="1:17" s="2" customFormat="1" ht="15.75" customHeight="1">
      <c r="A384" s="1"/>
      <c r="B384" s="1"/>
      <c r="C384" s="1"/>
      <c r="D384" s="817"/>
      <c r="E384" s="817"/>
      <c r="F384" s="817"/>
      <c r="G384" s="1"/>
      <c r="H384" s="99"/>
      <c r="I384" s="1"/>
      <c r="J384" s="1"/>
      <c r="K384" s="1"/>
      <c r="L384" s="1"/>
      <c r="M384" s="1"/>
      <c r="N384" s="1"/>
      <c r="O384" s="1"/>
      <c r="P384" s="26"/>
      <c r="Q384" s="1"/>
    </row>
    <row r="385" spans="1:17" s="2" customFormat="1" ht="15.75" customHeight="1">
      <c r="A385" s="1"/>
      <c r="B385" s="1"/>
      <c r="C385" s="1"/>
      <c r="D385" s="817"/>
      <c r="E385" s="817"/>
      <c r="F385" s="817"/>
      <c r="G385" s="1"/>
      <c r="H385" s="99"/>
      <c r="I385" s="1"/>
      <c r="J385" s="1"/>
      <c r="K385" s="1"/>
      <c r="L385" s="1"/>
      <c r="M385" s="1"/>
      <c r="N385" s="1"/>
      <c r="O385" s="1"/>
      <c r="P385" s="26"/>
      <c r="Q385" s="1"/>
    </row>
    <row r="386" spans="1:17" s="2" customFormat="1" ht="15.75" customHeight="1">
      <c r="A386" s="1"/>
      <c r="B386" s="1"/>
      <c r="C386" s="1"/>
      <c r="D386" s="817"/>
      <c r="E386" s="817"/>
      <c r="F386" s="817"/>
      <c r="G386" s="1"/>
      <c r="H386" s="99"/>
      <c r="I386" s="1"/>
      <c r="J386" s="1"/>
      <c r="K386" s="1"/>
      <c r="L386" s="1"/>
      <c r="M386" s="1"/>
      <c r="N386" s="1"/>
      <c r="O386" s="1"/>
      <c r="P386" s="26"/>
      <c r="Q386" s="1"/>
    </row>
    <row r="387" spans="1:17" s="2" customFormat="1" ht="15.75" customHeight="1">
      <c r="A387" s="1"/>
      <c r="B387" s="1"/>
      <c r="C387" s="1"/>
      <c r="D387" s="817"/>
      <c r="E387" s="817"/>
      <c r="F387" s="817"/>
      <c r="G387" s="1"/>
      <c r="H387" s="99"/>
      <c r="I387" s="1"/>
      <c r="J387" s="1"/>
      <c r="K387" s="1"/>
      <c r="L387" s="1"/>
      <c r="M387" s="1"/>
      <c r="N387" s="1"/>
      <c r="O387" s="1"/>
      <c r="P387" s="26"/>
      <c r="Q387" s="1"/>
    </row>
    <row r="388" spans="1:17" s="2" customFormat="1" ht="15.75" customHeight="1">
      <c r="A388" s="1"/>
      <c r="B388" s="1"/>
      <c r="C388" s="1"/>
      <c r="D388" s="817"/>
      <c r="E388" s="817"/>
      <c r="F388" s="817"/>
      <c r="G388" s="1"/>
      <c r="H388" s="99"/>
      <c r="I388" s="1"/>
      <c r="J388" s="1"/>
      <c r="K388" s="1"/>
      <c r="L388" s="1"/>
      <c r="M388" s="1"/>
      <c r="N388" s="1"/>
      <c r="O388" s="1"/>
      <c r="P388" s="26"/>
      <c r="Q388" s="1"/>
    </row>
    <row r="389" spans="1:17" s="2" customFormat="1" ht="15.75" customHeight="1">
      <c r="A389" s="1"/>
      <c r="B389" s="1"/>
      <c r="C389" s="1"/>
      <c r="D389" s="817"/>
      <c r="E389" s="817"/>
      <c r="F389" s="817"/>
      <c r="G389" s="1"/>
      <c r="H389" s="99"/>
      <c r="I389" s="1"/>
      <c r="J389" s="1"/>
      <c r="K389" s="1"/>
      <c r="L389" s="1"/>
      <c r="M389" s="1"/>
      <c r="N389" s="1"/>
      <c r="O389" s="1"/>
      <c r="P389" s="26"/>
      <c r="Q389" s="1"/>
    </row>
    <row r="390" spans="1:17" s="2" customFormat="1" ht="15.75" customHeight="1">
      <c r="A390" s="1"/>
      <c r="B390" s="1"/>
      <c r="C390" s="1"/>
      <c r="D390" s="817"/>
      <c r="E390" s="817"/>
      <c r="F390" s="817"/>
      <c r="G390" s="1"/>
      <c r="H390" s="99"/>
      <c r="I390" s="1"/>
      <c r="J390" s="1"/>
      <c r="K390" s="1"/>
      <c r="L390" s="1"/>
      <c r="M390" s="1"/>
      <c r="N390" s="1"/>
      <c r="O390" s="1"/>
      <c r="P390" s="26"/>
      <c r="Q390" s="1"/>
    </row>
    <row r="391" spans="1:17" s="2" customFormat="1" ht="15.75" customHeight="1">
      <c r="A391" s="1"/>
      <c r="B391" s="1"/>
      <c r="C391" s="1"/>
      <c r="D391" s="817"/>
      <c r="E391" s="817"/>
      <c r="F391" s="817"/>
      <c r="G391" s="1"/>
      <c r="H391" s="99"/>
      <c r="I391" s="1"/>
      <c r="J391" s="1"/>
      <c r="K391" s="1"/>
      <c r="L391" s="1"/>
      <c r="M391" s="1"/>
      <c r="N391" s="1"/>
      <c r="O391" s="1"/>
      <c r="P391" s="26"/>
      <c r="Q391" s="1"/>
    </row>
    <row r="392" spans="1:17" s="2" customFormat="1" ht="15.75" customHeight="1">
      <c r="A392" s="1"/>
      <c r="B392" s="1"/>
      <c r="C392" s="1"/>
      <c r="D392" s="817"/>
      <c r="E392" s="817"/>
      <c r="F392" s="817"/>
      <c r="G392" s="1"/>
      <c r="H392" s="99"/>
      <c r="I392" s="1"/>
      <c r="J392" s="1"/>
      <c r="K392" s="1"/>
      <c r="L392" s="1"/>
      <c r="M392" s="1"/>
      <c r="N392" s="1"/>
      <c r="O392" s="1"/>
      <c r="P392" s="26"/>
      <c r="Q392" s="1"/>
    </row>
    <row r="393" spans="1:17" s="2" customFormat="1" ht="15.75" customHeight="1">
      <c r="A393" s="1"/>
      <c r="B393" s="1"/>
      <c r="C393" s="1"/>
      <c r="D393" s="817"/>
      <c r="E393" s="817"/>
      <c r="F393" s="817"/>
      <c r="G393" s="1"/>
      <c r="H393" s="99"/>
      <c r="I393" s="1"/>
      <c r="J393" s="1"/>
      <c r="K393" s="1"/>
      <c r="L393" s="1"/>
      <c r="M393" s="1"/>
      <c r="N393" s="1"/>
      <c r="O393" s="1"/>
      <c r="P393" s="26"/>
      <c r="Q393" s="1"/>
    </row>
    <row r="394" spans="1:17" s="2" customFormat="1" ht="15.75" customHeight="1">
      <c r="A394" s="1"/>
      <c r="B394" s="1"/>
      <c r="C394" s="1"/>
      <c r="D394" s="817"/>
      <c r="E394" s="817"/>
      <c r="F394" s="817"/>
      <c r="G394" s="1"/>
      <c r="H394" s="99"/>
      <c r="I394" s="1"/>
      <c r="J394" s="1"/>
      <c r="K394" s="1"/>
      <c r="L394" s="1"/>
      <c r="M394" s="1"/>
      <c r="N394" s="1"/>
      <c r="O394" s="1"/>
      <c r="P394" s="26"/>
      <c r="Q394" s="1"/>
    </row>
    <row r="395" spans="1:17" s="2" customFormat="1" ht="15.75" customHeight="1">
      <c r="A395" s="1"/>
      <c r="B395" s="1"/>
      <c r="C395" s="1"/>
      <c r="D395" s="817"/>
      <c r="E395" s="817"/>
      <c r="F395" s="817"/>
      <c r="G395" s="1"/>
      <c r="H395" s="99"/>
      <c r="I395" s="1"/>
      <c r="J395" s="1"/>
      <c r="K395" s="1"/>
      <c r="L395" s="1"/>
      <c r="M395" s="1"/>
      <c r="N395" s="1"/>
      <c r="O395" s="1"/>
      <c r="P395" s="26"/>
      <c r="Q395" s="1"/>
    </row>
    <row r="396" spans="1:17" s="2" customFormat="1" ht="15.75" customHeight="1">
      <c r="A396" s="1"/>
      <c r="B396" s="1"/>
      <c r="C396" s="1"/>
      <c r="D396" s="817"/>
      <c r="E396" s="817"/>
      <c r="F396" s="817"/>
      <c r="G396" s="1"/>
      <c r="H396" s="99"/>
      <c r="I396" s="1"/>
      <c r="J396" s="1"/>
      <c r="K396" s="1"/>
      <c r="L396" s="1"/>
      <c r="M396" s="1"/>
      <c r="N396" s="1"/>
      <c r="O396" s="1"/>
      <c r="P396" s="26"/>
      <c r="Q396" s="1"/>
    </row>
    <row r="397" spans="1:17" s="2" customFormat="1" ht="15.75" customHeight="1">
      <c r="A397" s="1"/>
      <c r="B397" s="1"/>
      <c r="C397" s="1"/>
      <c r="D397" s="817"/>
      <c r="E397" s="817"/>
      <c r="F397" s="817"/>
      <c r="G397" s="1"/>
      <c r="H397" s="99"/>
      <c r="I397" s="1"/>
      <c r="J397" s="1"/>
      <c r="K397" s="1"/>
      <c r="L397" s="1"/>
      <c r="M397" s="1"/>
      <c r="N397" s="1"/>
      <c r="O397" s="1"/>
      <c r="P397" s="26"/>
      <c r="Q397" s="1"/>
    </row>
    <row r="398" spans="1:17" s="2" customFormat="1" ht="15.75" customHeight="1">
      <c r="A398" s="1"/>
      <c r="B398" s="1"/>
      <c r="C398" s="1"/>
      <c r="D398" s="817"/>
      <c r="E398" s="817"/>
      <c r="F398" s="817"/>
      <c r="G398" s="1"/>
      <c r="H398" s="99"/>
      <c r="I398" s="1"/>
      <c r="J398" s="1"/>
      <c r="K398" s="1"/>
      <c r="L398" s="1"/>
      <c r="M398" s="1"/>
      <c r="N398" s="1"/>
      <c r="O398" s="1"/>
      <c r="P398" s="26"/>
      <c r="Q398" s="1"/>
    </row>
    <row r="399" spans="1:17" s="2" customFormat="1" ht="15.75" customHeight="1">
      <c r="A399" s="1"/>
      <c r="B399" s="1"/>
      <c r="C399" s="1"/>
      <c r="D399" s="817"/>
      <c r="E399" s="817"/>
      <c r="F399" s="817"/>
      <c r="G399" s="1"/>
      <c r="H399" s="99"/>
      <c r="I399" s="1"/>
      <c r="J399" s="1"/>
      <c r="K399" s="1"/>
      <c r="L399" s="1"/>
      <c r="M399" s="1"/>
      <c r="N399" s="1"/>
      <c r="O399" s="1"/>
      <c r="P399" s="26"/>
      <c r="Q399" s="1"/>
    </row>
    <row r="400" spans="1:17" s="2" customFormat="1" ht="15.75" customHeight="1">
      <c r="A400" s="1"/>
      <c r="B400" s="1"/>
      <c r="C400" s="1"/>
      <c r="D400" s="817"/>
      <c r="E400" s="817"/>
      <c r="F400" s="817"/>
      <c r="G400" s="1"/>
      <c r="H400" s="99"/>
      <c r="I400" s="1"/>
      <c r="J400" s="1"/>
      <c r="K400" s="1"/>
      <c r="L400" s="1"/>
      <c r="M400" s="1"/>
      <c r="N400" s="1"/>
      <c r="O400" s="1"/>
      <c r="P400" s="26"/>
      <c r="Q400" s="1"/>
    </row>
    <row r="401" spans="1:17" s="2" customFormat="1" ht="15.75" customHeight="1">
      <c r="A401" s="1"/>
      <c r="B401" s="1"/>
      <c r="C401" s="1"/>
      <c r="D401" s="817"/>
      <c r="E401" s="817"/>
      <c r="F401" s="817"/>
      <c r="G401" s="1"/>
      <c r="H401" s="99"/>
      <c r="I401" s="1"/>
      <c r="J401" s="1"/>
      <c r="K401" s="1"/>
      <c r="L401" s="1"/>
      <c r="M401" s="1"/>
      <c r="N401" s="1"/>
      <c r="O401" s="1"/>
      <c r="P401" s="26"/>
      <c r="Q401" s="1"/>
    </row>
    <row r="402" spans="1:17" s="2" customFormat="1" ht="15.75" customHeight="1">
      <c r="A402" s="1"/>
      <c r="B402" s="1"/>
      <c r="C402" s="1"/>
      <c r="D402" s="817"/>
      <c r="E402" s="817"/>
      <c r="F402" s="817"/>
      <c r="G402" s="1"/>
      <c r="H402" s="99"/>
      <c r="I402" s="1"/>
      <c r="J402" s="1"/>
      <c r="K402" s="1"/>
      <c r="L402" s="1"/>
      <c r="M402" s="1"/>
      <c r="N402" s="1"/>
      <c r="O402" s="1"/>
      <c r="P402" s="26"/>
      <c r="Q402" s="1"/>
    </row>
    <row r="403" spans="1:17" s="2" customFormat="1" ht="15.75" customHeight="1">
      <c r="A403" s="1"/>
      <c r="B403" s="1"/>
      <c r="C403" s="1"/>
      <c r="D403" s="817"/>
      <c r="E403" s="817"/>
      <c r="F403" s="817"/>
      <c r="G403" s="1"/>
      <c r="H403" s="99"/>
      <c r="I403" s="1"/>
      <c r="J403" s="1"/>
      <c r="K403" s="1"/>
      <c r="L403" s="1"/>
      <c r="M403" s="1"/>
      <c r="N403" s="1"/>
      <c r="O403" s="1"/>
      <c r="P403" s="26"/>
      <c r="Q403" s="1"/>
    </row>
    <row r="404" spans="1:17" s="2" customFormat="1" ht="15.75" customHeight="1">
      <c r="A404" s="1"/>
      <c r="B404" s="1"/>
      <c r="C404" s="1"/>
      <c r="D404" s="817"/>
      <c r="E404" s="817"/>
      <c r="F404" s="817"/>
      <c r="G404" s="1"/>
      <c r="H404" s="99"/>
      <c r="I404" s="1"/>
      <c r="J404" s="1"/>
      <c r="K404" s="1"/>
      <c r="L404" s="1"/>
      <c r="M404" s="1"/>
      <c r="N404" s="1"/>
      <c r="O404" s="1"/>
      <c r="P404" s="26"/>
      <c r="Q404" s="1"/>
    </row>
    <row r="405" spans="1:17" s="2" customFormat="1" ht="15.75" customHeight="1">
      <c r="A405" s="1"/>
      <c r="B405" s="1"/>
      <c r="C405" s="1"/>
      <c r="D405" s="817"/>
      <c r="E405" s="817"/>
      <c r="F405" s="817"/>
      <c r="G405" s="1"/>
      <c r="H405" s="99"/>
      <c r="I405" s="1"/>
      <c r="J405" s="1"/>
      <c r="K405" s="1"/>
      <c r="L405" s="1"/>
      <c r="M405" s="1"/>
      <c r="N405" s="1"/>
      <c r="O405" s="1"/>
      <c r="P405" s="26"/>
      <c r="Q405" s="1"/>
    </row>
    <row r="406" spans="1:17" s="2" customFormat="1" ht="15.75" customHeight="1">
      <c r="A406" s="1"/>
      <c r="B406" s="1"/>
      <c r="C406" s="1"/>
      <c r="D406" s="817"/>
      <c r="E406" s="817"/>
      <c r="F406" s="817"/>
      <c r="G406" s="1"/>
      <c r="H406" s="99"/>
      <c r="I406" s="1"/>
      <c r="J406" s="1"/>
      <c r="K406" s="1"/>
      <c r="L406" s="1"/>
      <c r="M406" s="1"/>
      <c r="N406" s="1"/>
      <c r="O406" s="1"/>
      <c r="P406" s="26"/>
      <c r="Q406" s="1"/>
    </row>
    <row r="407" spans="1:17" s="2" customFormat="1" ht="15.75" customHeight="1">
      <c r="A407" s="1"/>
      <c r="B407" s="1"/>
      <c r="C407" s="1"/>
      <c r="D407" s="817"/>
      <c r="E407" s="817"/>
      <c r="F407" s="817"/>
      <c r="G407" s="1"/>
      <c r="H407" s="99"/>
      <c r="I407" s="1"/>
      <c r="J407" s="1"/>
      <c r="K407" s="1"/>
      <c r="L407" s="1"/>
      <c r="M407" s="1"/>
      <c r="N407" s="1"/>
      <c r="O407" s="1"/>
      <c r="P407" s="26"/>
      <c r="Q407" s="1"/>
    </row>
    <row r="408" spans="1:17" s="2" customFormat="1" ht="15.75" customHeight="1">
      <c r="A408" s="1"/>
      <c r="B408" s="1"/>
      <c r="C408" s="1"/>
      <c r="D408" s="817"/>
      <c r="E408" s="817"/>
      <c r="F408" s="817"/>
      <c r="G408" s="1"/>
      <c r="H408" s="99"/>
      <c r="I408" s="1"/>
      <c r="J408" s="1"/>
      <c r="K408" s="1"/>
      <c r="L408" s="1"/>
      <c r="M408" s="1"/>
      <c r="N408" s="1"/>
      <c r="O408" s="1"/>
      <c r="P408" s="26"/>
      <c r="Q408" s="1"/>
    </row>
    <row r="409" spans="1:17" s="2" customFormat="1" ht="15.75" customHeight="1">
      <c r="A409" s="1"/>
      <c r="B409" s="1"/>
      <c r="C409" s="1"/>
      <c r="D409" s="817"/>
      <c r="E409" s="817"/>
      <c r="F409" s="817"/>
      <c r="G409" s="1"/>
      <c r="H409" s="99"/>
      <c r="I409" s="1"/>
      <c r="J409" s="1"/>
      <c r="K409" s="1"/>
      <c r="L409" s="1"/>
      <c r="M409" s="1"/>
      <c r="N409" s="1"/>
      <c r="O409" s="1"/>
      <c r="P409" s="26"/>
      <c r="Q409" s="1"/>
    </row>
    <row r="410" spans="1:17" s="2" customFormat="1" ht="15.75" customHeight="1">
      <c r="A410" s="1"/>
      <c r="B410" s="1"/>
      <c r="C410" s="1"/>
      <c r="D410" s="817"/>
      <c r="E410" s="817"/>
      <c r="F410" s="817"/>
      <c r="G410" s="1"/>
      <c r="H410" s="99"/>
      <c r="I410" s="1"/>
      <c r="J410" s="1"/>
      <c r="K410" s="1"/>
      <c r="L410" s="1"/>
      <c r="M410" s="1"/>
      <c r="N410" s="1"/>
      <c r="O410" s="1"/>
      <c r="P410" s="26"/>
      <c r="Q410" s="1"/>
    </row>
    <row r="411" spans="1:17" s="2" customFormat="1" ht="15.75" customHeight="1">
      <c r="A411" s="1"/>
      <c r="B411" s="1"/>
      <c r="C411" s="1"/>
      <c r="D411" s="817"/>
      <c r="E411" s="817"/>
      <c r="F411" s="817"/>
      <c r="G411" s="1"/>
      <c r="H411" s="99"/>
      <c r="I411" s="1"/>
      <c r="J411" s="1"/>
      <c r="K411" s="1"/>
      <c r="L411" s="1"/>
      <c r="M411" s="1"/>
      <c r="N411" s="1"/>
      <c r="O411" s="1"/>
      <c r="P411" s="26"/>
      <c r="Q411" s="1"/>
    </row>
    <row r="412" spans="1:17" s="2" customFormat="1" ht="15.75" customHeight="1">
      <c r="A412" s="1"/>
      <c r="B412" s="1"/>
      <c r="C412" s="1"/>
      <c r="D412" s="817"/>
      <c r="E412" s="817"/>
      <c r="F412" s="817"/>
      <c r="G412" s="1"/>
      <c r="H412" s="99"/>
      <c r="I412" s="1"/>
      <c r="J412" s="1"/>
      <c r="K412" s="1"/>
      <c r="L412" s="1"/>
      <c r="M412" s="1"/>
      <c r="N412" s="1"/>
      <c r="O412" s="1"/>
      <c r="P412" s="26"/>
      <c r="Q412" s="1"/>
    </row>
    <row r="413" spans="1:17" s="2" customFormat="1" ht="15.75" customHeight="1">
      <c r="A413" s="1"/>
      <c r="B413" s="1"/>
      <c r="C413" s="1"/>
      <c r="D413" s="817"/>
      <c r="E413" s="817"/>
      <c r="F413" s="817"/>
      <c r="G413" s="1"/>
      <c r="H413" s="99"/>
      <c r="I413" s="1"/>
      <c r="J413" s="1"/>
      <c r="K413" s="1"/>
      <c r="L413" s="1"/>
      <c r="M413" s="1"/>
      <c r="N413" s="1"/>
      <c r="O413" s="1"/>
      <c r="P413" s="26"/>
      <c r="Q413" s="1"/>
    </row>
    <row r="414" spans="1:17" s="2" customFormat="1" ht="15.75" customHeight="1">
      <c r="A414" s="1"/>
      <c r="B414" s="1"/>
      <c r="C414" s="1"/>
      <c r="D414" s="817"/>
      <c r="E414" s="817"/>
      <c r="F414" s="817"/>
      <c r="G414" s="1"/>
      <c r="H414" s="99"/>
      <c r="I414" s="1"/>
      <c r="J414" s="1"/>
      <c r="K414" s="1"/>
      <c r="L414" s="1"/>
      <c r="M414" s="1"/>
      <c r="N414" s="1"/>
      <c r="O414" s="1"/>
      <c r="P414" s="26"/>
      <c r="Q414" s="1"/>
    </row>
    <row r="415" spans="1:17" s="2" customFormat="1" ht="15.75" customHeight="1">
      <c r="A415" s="1"/>
      <c r="B415" s="1"/>
      <c r="C415" s="1"/>
      <c r="D415" s="817"/>
      <c r="E415" s="817"/>
      <c r="F415" s="817"/>
      <c r="G415" s="1"/>
      <c r="H415" s="99"/>
      <c r="I415" s="1"/>
      <c r="J415" s="1"/>
      <c r="K415" s="1"/>
      <c r="L415" s="1"/>
      <c r="M415" s="1"/>
      <c r="N415" s="1"/>
      <c r="O415" s="1"/>
      <c r="P415" s="26"/>
      <c r="Q415" s="1"/>
    </row>
    <row r="416" spans="1:17" s="2" customFormat="1" ht="15.75" customHeight="1">
      <c r="A416" s="1"/>
      <c r="B416" s="1"/>
      <c r="C416" s="1"/>
      <c r="D416" s="817"/>
      <c r="E416" s="817"/>
      <c r="F416" s="817"/>
      <c r="G416" s="1"/>
      <c r="H416" s="99"/>
      <c r="I416" s="1"/>
      <c r="J416" s="1"/>
      <c r="K416" s="1"/>
      <c r="L416" s="1"/>
      <c r="M416" s="1"/>
      <c r="N416" s="1"/>
      <c r="O416" s="1"/>
      <c r="P416" s="26"/>
      <c r="Q416" s="1"/>
    </row>
    <row r="417" spans="1:17" s="2" customFormat="1" ht="15.75" customHeight="1">
      <c r="A417" s="1"/>
      <c r="B417" s="1"/>
      <c r="C417" s="1"/>
      <c r="D417" s="817"/>
      <c r="E417" s="817"/>
      <c r="F417" s="817"/>
      <c r="G417" s="1"/>
      <c r="H417" s="99"/>
      <c r="I417" s="1"/>
      <c r="J417" s="1"/>
      <c r="K417" s="1"/>
      <c r="L417" s="1"/>
      <c r="M417" s="1"/>
      <c r="N417" s="1"/>
      <c r="O417" s="1"/>
      <c r="P417" s="26"/>
      <c r="Q417" s="1"/>
    </row>
    <row r="418" spans="1:17" s="2" customFormat="1" ht="15.75" customHeight="1">
      <c r="A418" s="1"/>
      <c r="B418" s="1"/>
      <c r="C418" s="1"/>
      <c r="D418" s="817"/>
      <c r="E418" s="817"/>
      <c r="F418" s="817"/>
      <c r="G418" s="1"/>
      <c r="H418" s="99"/>
      <c r="I418" s="1"/>
      <c r="J418" s="1"/>
      <c r="K418" s="1"/>
      <c r="L418" s="1"/>
      <c r="M418" s="1"/>
      <c r="N418" s="1"/>
      <c r="O418" s="1"/>
      <c r="P418" s="26"/>
      <c r="Q418" s="1"/>
    </row>
    <row r="419" spans="1:17" s="2" customFormat="1" ht="15.75" customHeight="1">
      <c r="A419" s="1"/>
      <c r="B419" s="1"/>
      <c r="C419" s="1"/>
      <c r="D419" s="817"/>
      <c r="E419" s="817"/>
      <c r="F419" s="817"/>
      <c r="G419" s="1"/>
      <c r="H419" s="99"/>
      <c r="I419" s="1"/>
      <c r="J419" s="1"/>
      <c r="K419" s="1"/>
      <c r="L419" s="1"/>
      <c r="M419" s="1"/>
      <c r="N419" s="1"/>
      <c r="O419" s="1"/>
      <c r="P419" s="26"/>
      <c r="Q419" s="1"/>
    </row>
    <row r="420" spans="1:17" s="2" customFormat="1" ht="15.75" customHeight="1">
      <c r="A420" s="1"/>
      <c r="B420" s="1"/>
      <c r="C420" s="1"/>
      <c r="D420" s="817"/>
      <c r="E420" s="817"/>
      <c r="F420" s="817"/>
      <c r="G420" s="1"/>
      <c r="H420" s="99"/>
      <c r="I420" s="1"/>
      <c r="J420" s="1"/>
      <c r="K420" s="1"/>
      <c r="L420" s="1"/>
      <c r="M420" s="1"/>
      <c r="N420" s="1"/>
      <c r="O420" s="1"/>
      <c r="P420" s="26"/>
      <c r="Q420" s="1"/>
    </row>
    <row r="421" spans="1:17" s="2" customFormat="1" ht="15.75" customHeight="1">
      <c r="A421" s="1"/>
      <c r="B421" s="1"/>
      <c r="C421" s="1"/>
      <c r="D421" s="817"/>
      <c r="E421" s="817"/>
      <c r="F421" s="817"/>
      <c r="G421" s="1"/>
      <c r="H421" s="99"/>
      <c r="I421" s="1"/>
      <c r="J421" s="1"/>
      <c r="K421" s="1"/>
      <c r="L421" s="1"/>
      <c r="M421" s="1"/>
      <c r="N421" s="1"/>
      <c r="O421" s="1"/>
      <c r="P421" s="26"/>
      <c r="Q421" s="1"/>
    </row>
    <row r="422" spans="1:17" s="2" customFormat="1" ht="15.75" customHeight="1">
      <c r="A422" s="1"/>
      <c r="B422" s="1"/>
      <c r="C422" s="1"/>
      <c r="D422" s="817"/>
      <c r="E422" s="817"/>
      <c r="F422" s="817"/>
      <c r="G422" s="1"/>
      <c r="H422" s="99"/>
      <c r="I422" s="1"/>
      <c r="J422" s="1"/>
      <c r="K422" s="1"/>
      <c r="L422" s="1"/>
      <c r="M422" s="1"/>
      <c r="N422" s="1"/>
      <c r="O422" s="1"/>
      <c r="P422" s="26"/>
      <c r="Q422" s="1"/>
    </row>
    <row r="423" spans="1:17" s="2" customFormat="1" ht="15.75" customHeight="1">
      <c r="A423" s="1"/>
      <c r="B423" s="1"/>
      <c r="C423" s="1"/>
      <c r="D423" s="817"/>
      <c r="E423" s="817"/>
      <c r="F423" s="817"/>
      <c r="G423" s="1"/>
      <c r="H423" s="99"/>
      <c r="I423" s="1"/>
      <c r="J423" s="1"/>
      <c r="K423" s="1"/>
      <c r="L423" s="1"/>
      <c r="M423" s="1"/>
      <c r="N423" s="1"/>
      <c r="O423" s="1"/>
      <c r="P423" s="26"/>
      <c r="Q423" s="1"/>
    </row>
    <row r="424" spans="1:17" s="2" customFormat="1" ht="15.75" customHeight="1">
      <c r="A424" s="1"/>
      <c r="B424" s="1"/>
      <c r="C424" s="1"/>
      <c r="D424" s="817"/>
      <c r="E424" s="817"/>
      <c r="F424" s="817"/>
      <c r="G424" s="1"/>
      <c r="H424" s="99"/>
      <c r="I424" s="1"/>
      <c r="J424" s="1"/>
      <c r="K424" s="1"/>
      <c r="L424" s="1"/>
      <c r="M424" s="1"/>
      <c r="N424" s="1"/>
      <c r="O424" s="1"/>
      <c r="P424" s="26"/>
      <c r="Q424" s="1"/>
    </row>
    <row r="425" spans="1:17" s="2" customFormat="1" ht="15.75" customHeight="1">
      <c r="A425" s="1"/>
      <c r="B425" s="1"/>
      <c r="C425" s="1"/>
      <c r="D425" s="817"/>
      <c r="E425" s="817"/>
      <c r="F425" s="817"/>
      <c r="G425" s="1"/>
      <c r="H425" s="99"/>
      <c r="I425" s="1"/>
      <c r="J425" s="1"/>
      <c r="K425" s="1"/>
      <c r="L425" s="1"/>
      <c r="M425" s="1"/>
      <c r="N425" s="1"/>
      <c r="O425" s="1"/>
      <c r="P425" s="26"/>
      <c r="Q425" s="1"/>
    </row>
    <row r="426" spans="1:17" s="2" customFormat="1" ht="15.75" customHeight="1">
      <c r="A426" s="1"/>
      <c r="B426" s="1"/>
      <c r="C426" s="1"/>
      <c r="D426" s="817"/>
      <c r="E426" s="817"/>
      <c r="F426" s="817"/>
      <c r="G426" s="1"/>
      <c r="H426" s="99"/>
      <c r="I426" s="1"/>
      <c r="J426" s="1"/>
      <c r="K426" s="1"/>
      <c r="L426" s="1"/>
      <c r="M426" s="1"/>
      <c r="N426" s="1"/>
      <c r="O426" s="1"/>
      <c r="P426" s="26"/>
      <c r="Q426" s="1"/>
    </row>
    <row r="427" spans="1:17" s="2" customFormat="1" ht="15.75" customHeight="1">
      <c r="A427" s="1"/>
      <c r="B427" s="1"/>
      <c r="C427" s="1"/>
      <c r="D427" s="817"/>
      <c r="E427" s="817"/>
      <c r="F427" s="817"/>
      <c r="G427" s="1"/>
      <c r="H427" s="99"/>
      <c r="I427" s="1"/>
      <c r="J427" s="1"/>
      <c r="K427" s="1"/>
      <c r="L427" s="1"/>
      <c r="M427" s="1"/>
      <c r="N427" s="1"/>
      <c r="O427" s="1"/>
      <c r="P427" s="26"/>
      <c r="Q427" s="1"/>
    </row>
    <row r="428" spans="1:17" s="2" customFormat="1" ht="15.75" customHeight="1">
      <c r="A428" s="1"/>
      <c r="B428" s="1"/>
      <c r="C428" s="1"/>
      <c r="D428" s="817"/>
      <c r="E428" s="817"/>
      <c r="F428" s="817"/>
      <c r="G428" s="1"/>
      <c r="H428" s="99"/>
      <c r="I428" s="1"/>
      <c r="J428" s="1"/>
      <c r="K428" s="1"/>
      <c r="L428" s="1"/>
      <c r="M428" s="1"/>
      <c r="N428" s="1"/>
      <c r="O428" s="1"/>
      <c r="P428" s="26"/>
      <c r="Q428" s="1"/>
    </row>
    <row r="429" spans="1:17" s="2" customFormat="1" ht="15.75" customHeight="1">
      <c r="A429" s="1"/>
      <c r="B429" s="1"/>
      <c r="C429" s="1"/>
      <c r="D429" s="817"/>
      <c r="E429" s="817"/>
      <c r="F429" s="817"/>
      <c r="G429" s="1"/>
      <c r="H429" s="99"/>
      <c r="I429" s="1"/>
      <c r="J429" s="1"/>
      <c r="K429" s="1"/>
      <c r="L429" s="1"/>
      <c r="M429" s="1"/>
      <c r="N429" s="1"/>
      <c r="O429" s="1"/>
      <c r="P429" s="26"/>
      <c r="Q429" s="1"/>
    </row>
    <row r="430" spans="1:17" s="2" customFormat="1" ht="15.75" customHeight="1">
      <c r="A430" s="1"/>
      <c r="B430" s="1"/>
      <c r="C430" s="1"/>
      <c r="D430" s="817"/>
      <c r="E430" s="817"/>
      <c r="F430" s="817"/>
      <c r="G430" s="1"/>
      <c r="H430" s="99"/>
      <c r="I430" s="1"/>
      <c r="J430" s="1"/>
      <c r="K430" s="1"/>
      <c r="L430" s="1"/>
      <c r="M430" s="1"/>
      <c r="N430" s="1"/>
      <c r="O430" s="1"/>
      <c r="P430" s="26"/>
      <c r="Q430" s="1"/>
    </row>
    <row r="431" spans="1:17" s="2" customFormat="1" ht="15.75" customHeight="1">
      <c r="A431" s="1"/>
      <c r="B431" s="1"/>
      <c r="C431" s="1"/>
      <c r="D431" s="817"/>
      <c r="E431" s="817"/>
      <c r="F431" s="817"/>
      <c r="G431" s="1"/>
      <c r="H431" s="99"/>
      <c r="I431" s="1"/>
      <c r="J431" s="1"/>
      <c r="K431" s="1"/>
      <c r="L431" s="1"/>
      <c r="M431" s="1"/>
      <c r="N431" s="1"/>
      <c r="O431" s="1"/>
      <c r="P431" s="26"/>
      <c r="Q431" s="1"/>
    </row>
    <row r="432" spans="1:17" s="2" customFormat="1" ht="15.75" customHeight="1">
      <c r="A432" s="1"/>
      <c r="B432" s="1"/>
      <c r="C432" s="1"/>
      <c r="D432" s="817"/>
      <c r="E432" s="817"/>
      <c r="F432" s="817"/>
      <c r="G432" s="1"/>
      <c r="H432" s="99"/>
      <c r="I432" s="1"/>
      <c r="J432" s="1"/>
      <c r="K432" s="1"/>
      <c r="L432" s="1"/>
      <c r="M432" s="1"/>
      <c r="N432" s="1"/>
      <c r="O432" s="1"/>
      <c r="P432" s="26"/>
      <c r="Q432" s="1"/>
    </row>
    <row r="433" spans="1:17" s="2" customFormat="1" ht="15.75" customHeight="1">
      <c r="A433" s="1"/>
      <c r="B433" s="1"/>
      <c r="C433" s="1"/>
      <c r="D433" s="817"/>
      <c r="E433" s="817"/>
      <c r="F433" s="817"/>
      <c r="G433" s="1"/>
      <c r="H433" s="99"/>
      <c r="I433" s="1"/>
      <c r="J433" s="1"/>
      <c r="K433" s="1"/>
      <c r="L433" s="1"/>
      <c r="M433" s="1"/>
      <c r="N433" s="1"/>
      <c r="O433" s="1"/>
      <c r="P433" s="26"/>
      <c r="Q433" s="1"/>
    </row>
    <row r="434" spans="1:17" s="2" customFormat="1" ht="15.75" customHeight="1">
      <c r="A434" s="1"/>
      <c r="B434" s="1"/>
      <c r="C434" s="1"/>
      <c r="D434" s="817"/>
      <c r="E434" s="817"/>
      <c r="F434" s="817"/>
      <c r="G434" s="1"/>
      <c r="H434" s="99"/>
      <c r="I434" s="1"/>
      <c r="J434" s="1"/>
      <c r="K434" s="1"/>
      <c r="L434" s="1"/>
      <c r="M434" s="1"/>
      <c r="N434" s="1"/>
      <c r="O434" s="1"/>
      <c r="P434" s="26"/>
      <c r="Q434" s="1"/>
    </row>
    <row r="435" spans="1:17" s="2" customFormat="1" ht="15.75" customHeight="1">
      <c r="A435" s="1"/>
      <c r="B435" s="1"/>
      <c r="C435" s="1"/>
      <c r="D435" s="817"/>
      <c r="E435" s="817"/>
      <c r="F435" s="817"/>
      <c r="G435" s="1"/>
      <c r="H435" s="99"/>
      <c r="I435" s="1"/>
      <c r="J435" s="1"/>
      <c r="K435" s="1"/>
      <c r="L435" s="1"/>
      <c r="M435" s="1"/>
      <c r="N435" s="1"/>
      <c r="O435" s="1"/>
      <c r="P435" s="26"/>
      <c r="Q435" s="1"/>
    </row>
    <row r="436" spans="1:17" s="2" customFormat="1" ht="15.75" customHeight="1">
      <c r="A436" s="1"/>
      <c r="B436" s="1"/>
      <c r="C436" s="1"/>
      <c r="D436" s="817"/>
      <c r="E436" s="817"/>
      <c r="F436" s="817"/>
      <c r="G436" s="1"/>
      <c r="H436" s="99"/>
      <c r="I436" s="1"/>
      <c r="J436" s="1"/>
      <c r="K436" s="1"/>
      <c r="L436" s="1"/>
      <c r="M436" s="1"/>
      <c r="N436" s="1"/>
      <c r="O436" s="1"/>
      <c r="P436" s="26"/>
      <c r="Q436" s="1"/>
    </row>
    <row r="437" spans="1:17" s="2" customFormat="1" ht="15.75" customHeight="1">
      <c r="A437" s="1"/>
      <c r="B437" s="1"/>
      <c r="C437" s="1"/>
      <c r="D437" s="817"/>
      <c r="E437" s="817"/>
      <c r="F437" s="817"/>
      <c r="G437" s="1"/>
      <c r="H437" s="99"/>
      <c r="I437" s="1"/>
      <c r="J437" s="1"/>
      <c r="K437" s="1"/>
      <c r="L437" s="1"/>
      <c r="M437" s="1"/>
      <c r="N437" s="1"/>
      <c r="O437" s="1"/>
      <c r="P437" s="26"/>
      <c r="Q437" s="1"/>
    </row>
    <row r="438" spans="1:17" s="2" customFormat="1" ht="15.75" customHeight="1">
      <c r="A438" s="1"/>
      <c r="B438" s="1"/>
      <c r="C438" s="1"/>
      <c r="D438" s="817"/>
      <c r="E438" s="817"/>
      <c r="F438" s="817"/>
      <c r="G438" s="1"/>
      <c r="H438" s="99"/>
      <c r="I438" s="1"/>
      <c r="J438" s="1"/>
      <c r="K438" s="1"/>
      <c r="L438" s="1"/>
      <c r="M438" s="1"/>
      <c r="N438" s="1"/>
      <c r="O438" s="1"/>
      <c r="P438" s="26"/>
      <c r="Q438" s="1"/>
    </row>
    <row r="439" spans="1:17" s="2" customFormat="1" ht="15.75" customHeight="1">
      <c r="A439" s="1"/>
      <c r="B439" s="1"/>
      <c r="C439" s="1"/>
      <c r="D439" s="817"/>
      <c r="E439" s="817"/>
      <c r="F439" s="817"/>
      <c r="G439" s="1"/>
      <c r="H439" s="99"/>
      <c r="I439" s="1"/>
      <c r="J439" s="1"/>
      <c r="K439" s="1"/>
      <c r="L439" s="1"/>
      <c r="M439" s="1"/>
      <c r="N439" s="1"/>
      <c r="O439" s="1"/>
      <c r="P439" s="26"/>
      <c r="Q439" s="1"/>
    </row>
    <row r="440" spans="1:17" s="2" customFormat="1" ht="15.75" customHeight="1">
      <c r="A440" s="1"/>
      <c r="B440" s="1"/>
      <c r="C440" s="1"/>
      <c r="D440" s="817"/>
      <c r="E440" s="817"/>
      <c r="F440" s="817"/>
      <c r="G440" s="1"/>
      <c r="H440" s="99"/>
      <c r="I440" s="1"/>
      <c r="J440" s="1"/>
      <c r="K440" s="1"/>
      <c r="L440" s="1"/>
      <c r="M440" s="1"/>
      <c r="N440" s="1"/>
      <c r="O440" s="1"/>
      <c r="P440" s="26"/>
      <c r="Q440" s="1"/>
    </row>
    <row r="441" spans="1:17" s="2" customFormat="1" ht="15.75" customHeight="1">
      <c r="A441" s="1"/>
      <c r="B441" s="1"/>
      <c r="C441" s="1"/>
      <c r="D441" s="817"/>
      <c r="E441" s="817"/>
      <c r="F441" s="817"/>
      <c r="G441" s="1"/>
      <c r="H441" s="99"/>
      <c r="I441" s="1"/>
      <c r="J441" s="1"/>
      <c r="K441" s="1"/>
      <c r="L441" s="1"/>
      <c r="M441" s="1"/>
      <c r="N441" s="1"/>
      <c r="O441" s="1"/>
      <c r="P441" s="26"/>
      <c r="Q441" s="1"/>
    </row>
    <row r="442" spans="1:17" s="2" customFormat="1" ht="15.75" customHeight="1">
      <c r="A442" s="1"/>
      <c r="B442" s="1"/>
      <c r="C442" s="1"/>
      <c r="D442" s="817"/>
      <c r="E442" s="817"/>
      <c r="F442" s="817"/>
      <c r="G442" s="1"/>
      <c r="H442" s="99"/>
      <c r="I442" s="1"/>
      <c r="J442" s="1"/>
      <c r="K442" s="1"/>
      <c r="L442" s="1"/>
      <c r="M442" s="1"/>
      <c r="N442" s="1"/>
      <c r="O442" s="1"/>
      <c r="P442" s="26"/>
      <c r="Q442" s="1"/>
    </row>
    <row r="443" spans="1:17" s="2" customFormat="1" ht="15.75" customHeight="1">
      <c r="A443" s="1"/>
      <c r="B443" s="1"/>
      <c r="C443" s="1"/>
      <c r="D443" s="817"/>
      <c r="E443" s="817"/>
      <c r="F443" s="817"/>
      <c r="G443" s="1"/>
      <c r="H443" s="99"/>
      <c r="I443" s="1"/>
      <c r="J443" s="1"/>
      <c r="K443" s="1"/>
      <c r="L443" s="1"/>
      <c r="M443" s="1"/>
      <c r="N443" s="1"/>
      <c r="O443" s="1"/>
      <c r="P443" s="26"/>
      <c r="Q443" s="1"/>
    </row>
  </sheetData>
  <mergeCells count="99">
    <mergeCell ref="O5:Q5"/>
    <mergeCell ref="K33:L33"/>
    <mergeCell ref="K35:L35"/>
    <mergeCell ref="O6:Q6"/>
    <mergeCell ref="G8:H8"/>
    <mergeCell ref="G9:H9"/>
    <mergeCell ref="G15:H15"/>
    <mergeCell ref="K34:L34"/>
    <mergeCell ref="D3:D4"/>
    <mergeCell ref="K32:L32"/>
    <mergeCell ref="K40:L40"/>
    <mergeCell ref="G29:H29"/>
    <mergeCell ref="G30:H30"/>
    <mergeCell ref="K37:L37"/>
    <mergeCell ref="K36:L36"/>
    <mergeCell ref="F21:F22"/>
    <mergeCell ref="D21:D22"/>
    <mergeCell ref="C21:C22"/>
    <mergeCell ref="B105:C105"/>
    <mergeCell ref="F8:F20"/>
    <mergeCell ref="C23:C24"/>
    <mergeCell ref="D23:D24"/>
    <mergeCell ref="E23:E24"/>
    <mergeCell ref="F23:F24"/>
    <mergeCell ref="E21:E22"/>
    <mergeCell ref="B62:C62"/>
    <mergeCell ref="C8:C20"/>
    <mergeCell ref="D8:D20"/>
    <mergeCell ref="E8:E20"/>
    <mergeCell ref="U2:V2"/>
    <mergeCell ref="S2:T2"/>
    <mergeCell ref="A1:Q1"/>
    <mergeCell ref="O7:Q7"/>
    <mergeCell ref="D2:F2"/>
    <mergeCell ref="A2:C2"/>
    <mergeCell ref="H2:Q2"/>
    <mergeCell ref="R3:T3"/>
    <mergeCell ref="Q3:Q4"/>
    <mergeCell ref="G3:P4"/>
    <mergeCell ref="A6:C6"/>
    <mergeCell ref="B7:C7"/>
    <mergeCell ref="E3:E4"/>
    <mergeCell ref="A5:C5"/>
    <mergeCell ref="F3:F4"/>
    <mergeCell ref="A3:C3"/>
    <mergeCell ref="K41:L41"/>
    <mergeCell ref="K39:L39"/>
    <mergeCell ref="K49:L49"/>
    <mergeCell ref="K50:L50"/>
    <mergeCell ref="K51:L51"/>
    <mergeCell ref="K42:L42"/>
    <mergeCell ref="K44:L44"/>
    <mergeCell ref="K45:L45"/>
    <mergeCell ref="K46:L46"/>
    <mergeCell ref="K47:L47"/>
    <mergeCell ref="K52:L52"/>
    <mergeCell ref="B53:C53"/>
    <mergeCell ref="G54:H54"/>
    <mergeCell ref="G57:H57"/>
    <mergeCell ref="G59:J59"/>
    <mergeCell ref="O62:Q62"/>
    <mergeCell ref="C75:C76"/>
    <mergeCell ref="A104:C104"/>
    <mergeCell ref="O113:Q113"/>
    <mergeCell ref="B114:C114"/>
    <mergeCell ref="O114:Q114"/>
    <mergeCell ref="A138:C138"/>
    <mergeCell ref="B139:C139"/>
    <mergeCell ref="A113:C113"/>
    <mergeCell ref="P159:Q159"/>
    <mergeCell ref="A145:C145"/>
    <mergeCell ref="O145:Q145"/>
    <mergeCell ref="B146:C146"/>
    <mergeCell ref="O146:Q146"/>
    <mergeCell ref="C147:C148"/>
    <mergeCell ref="E147:E149"/>
    <mergeCell ref="F147:F149"/>
    <mergeCell ref="A152:C152"/>
    <mergeCell ref="B153:C153"/>
    <mergeCell ref="A142:C142"/>
    <mergeCell ref="B143:C143"/>
    <mergeCell ref="B132:C132"/>
    <mergeCell ref="C150:C151"/>
    <mergeCell ref="E150:E151"/>
    <mergeCell ref="A155:C155"/>
    <mergeCell ref="B156:C156"/>
    <mergeCell ref="A159:C159"/>
    <mergeCell ref="C167:C168"/>
    <mergeCell ref="D167:D168"/>
    <mergeCell ref="E167:E168"/>
    <mergeCell ref="F167:F168"/>
    <mergeCell ref="B160:C160"/>
    <mergeCell ref="E165:E166"/>
    <mergeCell ref="F165:F166"/>
    <mergeCell ref="O160:Q160"/>
    <mergeCell ref="A163:C163"/>
    <mergeCell ref="B164:C164"/>
    <mergeCell ref="C165:C166"/>
    <mergeCell ref="D165:D166"/>
  </mergeCells>
  <phoneticPr fontId="2" type="noConversion"/>
  <printOptions horizontalCentered="1"/>
  <pageMargins left="0" right="0" top="0.15748031496062992" bottom="0.15748031496062992" header="0" footer="0"/>
  <pageSetup paperSize="9" scale="73" fitToHeight="0" orientation="portrait" horizontalDpi="4294967293" r:id="rId1"/>
  <headerFooter alignWithMargins="0"/>
  <rowBreaks count="3" manualBreakCount="3">
    <brk id="45" max="16" man="1"/>
    <brk id="84" max="16" man="1"/>
    <brk id="127" max="16" man="1"/>
  </rowBreaks>
  <colBreaks count="1" manualBreakCount="1">
    <brk id="17" max="17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activeCell="K35" sqref="K35"/>
    </sheetView>
  </sheetViews>
  <sheetFormatPr defaultRowHeight="13.5"/>
  <cols>
    <col min="1" max="1" width="4" bestFit="1" customWidth="1"/>
    <col min="2" max="2" width="9.77734375" customWidth="1"/>
    <col min="3" max="3" width="11.21875" customWidth="1"/>
    <col min="4" max="4" width="9.77734375" customWidth="1"/>
    <col min="5" max="5" width="13.21875" bestFit="1" customWidth="1"/>
    <col min="6" max="6" width="11.21875" bestFit="1" customWidth="1"/>
    <col min="7" max="7" width="12.21875" bestFit="1" customWidth="1"/>
    <col min="8" max="9" width="9.77734375" customWidth="1"/>
    <col min="10" max="10" width="15.109375" bestFit="1" customWidth="1"/>
    <col min="11" max="11" width="13.21875" bestFit="1" customWidth="1"/>
    <col min="12" max="12" width="11.21875" bestFit="1" customWidth="1"/>
    <col min="13" max="13" width="12.21875" bestFit="1" customWidth="1"/>
  </cols>
  <sheetData>
    <row r="1" spans="1:17" ht="38.25">
      <c r="A1" s="1197" t="s">
        <v>748</v>
      </c>
      <c r="B1" s="1197"/>
      <c r="C1" s="1197"/>
      <c r="D1" s="1197"/>
      <c r="E1" s="1197"/>
      <c r="F1" s="1197"/>
      <c r="G1" s="1197"/>
      <c r="H1" s="1197"/>
      <c r="I1" s="1197"/>
      <c r="J1" s="1197"/>
      <c r="K1" s="1197"/>
      <c r="L1" s="1197"/>
      <c r="M1" s="1197"/>
      <c r="N1" s="403"/>
      <c r="O1" s="403"/>
      <c r="P1" s="403"/>
      <c r="Q1" s="403"/>
    </row>
    <row r="2" spans="1:17" ht="26.25" thickBot="1">
      <c r="A2" s="1240" t="s">
        <v>421</v>
      </c>
      <c r="B2" s="1240"/>
      <c r="C2" s="1240"/>
      <c r="D2" s="1241" t="s">
        <v>195</v>
      </c>
      <c r="E2" s="1241"/>
      <c r="F2" s="1241"/>
      <c r="G2" s="41"/>
      <c r="H2" s="581"/>
      <c r="I2" s="582"/>
      <c r="J2" s="582"/>
      <c r="K2" s="582"/>
      <c r="L2" s="1050" t="str">
        <f>표제!A42</f>
        <v>YJ주야간보호센터</v>
      </c>
      <c r="M2" s="1050"/>
      <c r="N2" s="582"/>
      <c r="O2" s="582"/>
      <c r="P2" s="582"/>
      <c r="Q2" s="582"/>
    </row>
    <row r="3" spans="1:17" s="583" customFormat="1" ht="24.75" customHeight="1">
      <c r="A3" s="1242" t="s">
        <v>388</v>
      </c>
      <c r="B3" s="1245" t="s">
        <v>389</v>
      </c>
      <c r="C3" s="1245"/>
      <c r="D3" s="1245"/>
      <c r="E3" s="1245"/>
      <c r="F3" s="1245"/>
      <c r="G3" s="1245"/>
      <c r="H3" s="1246" t="s">
        <v>390</v>
      </c>
      <c r="I3" s="1245"/>
      <c r="J3" s="1245"/>
      <c r="K3" s="1245"/>
      <c r="L3" s="1245"/>
      <c r="M3" s="1247"/>
    </row>
    <row r="4" spans="1:17" s="583" customFormat="1" ht="21" customHeight="1">
      <c r="A4" s="1243"/>
      <c r="B4" s="1252" t="s">
        <v>391</v>
      </c>
      <c r="C4" s="1234" t="s">
        <v>392</v>
      </c>
      <c r="D4" s="1234" t="s">
        <v>393</v>
      </c>
      <c r="E4" s="1230" t="s">
        <v>394</v>
      </c>
      <c r="F4" s="1231"/>
      <c r="G4" s="1231"/>
      <c r="H4" s="1232" t="s">
        <v>391</v>
      </c>
      <c r="I4" s="1234" t="s">
        <v>392</v>
      </c>
      <c r="J4" s="1234" t="s">
        <v>393</v>
      </c>
      <c r="K4" s="1230" t="s">
        <v>394</v>
      </c>
      <c r="L4" s="1231"/>
      <c r="M4" s="1236"/>
    </row>
    <row r="5" spans="1:17" s="583" customFormat="1" ht="21" customHeight="1" thickBot="1">
      <c r="A5" s="1244"/>
      <c r="B5" s="1253"/>
      <c r="C5" s="1235"/>
      <c r="D5" s="1235"/>
      <c r="E5" s="673" t="s">
        <v>395</v>
      </c>
      <c r="F5" s="673" t="s">
        <v>396</v>
      </c>
      <c r="G5" s="674" t="s">
        <v>397</v>
      </c>
      <c r="H5" s="1233"/>
      <c r="I5" s="1235"/>
      <c r="J5" s="1235"/>
      <c r="K5" s="673" t="s">
        <v>395</v>
      </c>
      <c r="L5" s="673" t="s">
        <v>396</v>
      </c>
      <c r="M5" s="675" t="s">
        <v>418</v>
      </c>
    </row>
    <row r="6" spans="1:17" ht="28.5" customHeight="1">
      <c r="A6" s="588">
        <v>1</v>
      </c>
      <c r="B6" s="676" t="s">
        <v>398</v>
      </c>
      <c r="C6" s="677" t="s">
        <v>399</v>
      </c>
      <c r="D6" s="590" t="s">
        <v>400</v>
      </c>
      <c r="E6" s="591">
        <f>세입예산서!Q8</f>
        <v>8890362</v>
      </c>
      <c r="F6" s="591">
        <f>추경세입예산서!Q8</f>
        <v>43958410</v>
      </c>
      <c r="G6" s="593">
        <f>F6-E6</f>
        <v>35068048</v>
      </c>
      <c r="H6" s="678" t="s">
        <v>401</v>
      </c>
      <c r="I6" s="677" t="s">
        <v>402</v>
      </c>
      <c r="J6" s="590" t="str">
        <f>세출예산서!G8</f>
        <v>ㅇ 급여</v>
      </c>
      <c r="K6" s="591">
        <f>세출예산서!Q8</f>
        <v>47700000</v>
      </c>
      <c r="L6" s="591">
        <f>'추경세출예산서 '!Q8</f>
        <v>241200000</v>
      </c>
      <c r="M6" s="642">
        <f>L6-K6</f>
        <v>193500000</v>
      </c>
    </row>
    <row r="7" spans="1:17" s="592" customFormat="1" ht="22.5">
      <c r="A7" s="588"/>
      <c r="B7" s="589"/>
      <c r="C7" s="590"/>
      <c r="D7" s="590" t="s">
        <v>403</v>
      </c>
      <c r="E7" s="591">
        <f>세입예산서!Q34</f>
        <v>7488000</v>
      </c>
      <c r="F7" s="591">
        <f>추경세입예산서!Q25</f>
        <v>40332500</v>
      </c>
      <c r="G7" s="593">
        <f t="shared" ref="G7:G35" si="0">F7-E7</f>
        <v>32844500</v>
      </c>
      <c r="H7" s="594"/>
      <c r="I7" s="590"/>
      <c r="J7" s="590" t="e">
        <f>세출예산서!#REF!</f>
        <v>#REF!</v>
      </c>
      <c r="K7" s="591" t="e">
        <f>세출예산서!#REF!</f>
        <v>#REF!</v>
      </c>
      <c r="L7" s="591">
        <f>'추경세출예산서 '!Q20</f>
        <v>0</v>
      </c>
      <c r="M7" s="642" t="e">
        <f t="shared" ref="M7:M35" si="1">L7-K7</f>
        <v>#REF!</v>
      </c>
    </row>
    <row r="8" spans="1:17" s="592" customFormat="1">
      <c r="A8" s="588">
        <v>2</v>
      </c>
      <c r="B8" s="589" t="s">
        <v>146</v>
      </c>
      <c r="C8" s="590" t="s">
        <v>146</v>
      </c>
      <c r="D8" s="590" t="s">
        <v>426</v>
      </c>
      <c r="E8" s="591">
        <f>세입예산서!Q42</f>
        <v>0</v>
      </c>
      <c r="F8" s="591">
        <v>0</v>
      </c>
      <c r="G8" s="593">
        <f t="shared" si="0"/>
        <v>0</v>
      </c>
      <c r="H8" s="594"/>
      <c r="I8" s="590"/>
      <c r="J8" s="590" t="str">
        <f>세출예산서!G21</f>
        <v>ㅇ 각종수당</v>
      </c>
      <c r="K8" s="591">
        <f>세출예산서!Q21</f>
        <v>0</v>
      </c>
      <c r="L8" s="591">
        <f>'추경세출예산서 '!Q22</f>
        <v>0</v>
      </c>
      <c r="M8" s="642">
        <f t="shared" si="1"/>
        <v>0</v>
      </c>
    </row>
    <row r="9" spans="1:17" s="592" customFormat="1">
      <c r="A9" s="588">
        <v>3</v>
      </c>
      <c r="B9" s="589" t="s">
        <v>427</v>
      </c>
      <c r="C9" s="590" t="s">
        <v>427</v>
      </c>
      <c r="D9" s="590" t="s">
        <v>427</v>
      </c>
      <c r="E9" s="591">
        <f>세입예산서!Q46</f>
        <v>0</v>
      </c>
      <c r="F9" s="591">
        <v>0</v>
      </c>
      <c r="G9" s="593">
        <f t="shared" si="0"/>
        <v>0</v>
      </c>
      <c r="H9" s="594"/>
      <c r="I9" s="590"/>
      <c r="J9" s="590" t="str">
        <f>세출예산서!G23</f>
        <v>ㅇ 일용잡금</v>
      </c>
      <c r="K9" s="591">
        <f>세출예산서!Q23</f>
        <v>0</v>
      </c>
      <c r="L9" s="591">
        <f>'추경세출예산서 '!Q24</f>
        <v>16600000</v>
      </c>
      <c r="M9" s="642">
        <f t="shared" si="1"/>
        <v>16600000</v>
      </c>
    </row>
    <row r="10" spans="1:17">
      <c r="A10" s="588">
        <v>4</v>
      </c>
      <c r="B10" s="589" t="s">
        <v>404</v>
      </c>
      <c r="C10" s="590" t="s">
        <v>404</v>
      </c>
      <c r="D10" s="590" t="s">
        <v>405</v>
      </c>
      <c r="E10" s="591">
        <f>세입예산서!Q54</f>
        <v>0</v>
      </c>
      <c r="F10" s="591">
        <f>추경세입예산서!Q45</f>
        <v>10973760</v>
      </c>
      <c r="G10" s="593">
        <f t="shared" si="0"/>
        <v>10973760</v>
      </c>
      <c r="H10" s="594"/>
      <c r="I10" s="590"/>
      <c r="J10" s="590" t="str">
        <f>세출예산서!G24</f>
        <v xml:space="preserve">  -  일용잡금</v>
      </c>
      <c r="K10" s="591">
        <f>세출예산서!Q24</f>
        <v>0</v>
      </c>
      <c r="L10" s="591">
        <f>'추경세출예산서 '!Q25</f>
        <v>22281377.472000003</v>
      </c>
      <c r="M10" s="642">
        <f t="shared" si="1"/>
        <v>22281377.472000003</v>
      </c>
    </row>
    <row r="11" spans="1:17">
      <c r="A11" s="588">
        <v>5</v>
      </c>
      <c r="B11" s="589" t="s">
        <v>428</v>
      </c>
      <c r="C11" s="590" t="s">
        <v>428</v>
      </c>
      <c r="D11" s="677" t="s">
        <v>428</v>
      </c>
      <c r="E11" s="591">
        <v>0</v>
      </c>
      <c r="F11" s="591">
        <v>0</v>
      </c>
      <c r="G11" s="593">
        <f t="shared" si="0"/>
        <v>0</v>
      </c>
      <c r="H11" s="594" t="s">
        <v>401</v>
      </c>
      <c r="I11" s="590" t="s">
        <v>410</v>
      </c>
      <c r="J11" s="590" t="str">
        <f>세출예산서!G43</f>
        <v>ㅇ 산재보험</v>
      </c>
      <c r="K11" s="591">
        <f>세출예산서!Q43</f>
        <v>434070</v>
      </c>
      <c r="L11" s="591">
        <f>'추경세출예산서 '!Q44</f>
        <v>0</v>
      </c>
      <c r="M11" s="642">
        <f t="shared" si="1"/>
        <v>-434070</v>
      </c>
    </row>
    <row r="12" spans="1:17" ht="22.5" customHeight="1">
      <c r="A12" s="588">
        <v>6</v>
      </c>
      <c r="B12" s="1248" t="s">
        <v>406</v>
      </c>
      <c r="C12" s="1250" t="s">
        <v>406</v>
      </c>
      <c r="D12" s="679" t="s">
        <v>407</v>
      </c>
      <c r="E12" s="680">
        <f>세입예산서!N70</f>
        <v>58752798</v>
      </c>
      <c r="F12" s="591">
        <f>추경세입예산서!N61</f>
        <v>292108040</v>
      </c>
      <c r="G12" s="593">
        <f t="shared" si="0"/>
        <v>233355242</v>
      </c>
      <c r="H12" s="594"/>
      <c r="I12" s="590"/>
      <c r="J12" s="590" t="str">
        <f>세출예산서!G46</f>
        <v xml:space="preserve"> - 종사자 직접비</v>
      </c>
      <c r="K12" s="591">
        <f>세출예산서!Q46</f>
        <v>297570</v>
      </c>
      <c r="L12" s="591">
        <f>'추경세출예산서 '!Q47</f>
        <v>0</v>
      </c>
      <c r="M12" s="642">
        <f t="shared" si="1"/>
        <v>-297570</v>
      </c>
    </row>
    <row r="13" spans="1:17">
      <c r="A13" s="588"/>
      <c r="B13" s="1249"/>
      <c r="C13" s="1251"/>
      <c r="D13" s="681" t="s">
        <v>439</v>
      </c>
      <c r="E13" s="591">
        <f>세입예산서!N95</f>
        <v>6000000</v>
      </c>
      <c r="F13" s="591">
        <f>추경세입예산서!N77</f>
        <v>11684321.6</v>
      </c>
      <c r="G13" s="593">
        <f t="shared" si="0"/>
        <v>5684321.5999999996</v>
      </c>
      <c r="H13" s="594"/>
      <c r="I13" s="677"/>
      <c r="J13" s="590" t="str">
        <f>세출예산서!G48</f>
        <v>ㅇ 고용보험</v>
      </c>
      <c r="K13" s="591">
        <f>세출예산서!Q48</f>
        <v>381600</v>
      </c>
      <c r="L13" s="591">
        <f>'추경세출예산서 '!Q49</f>
        <v>0</v>
      </c>
      <c r="M13" s="642">
        <f t="shared" si="1"/>
        <v>-381600</v>
      </c>
    </row>
    <row r="14" spans="1:17">
      <c r="A14" s="588">
        <v>7</v>
      </c>
      <c r="B14" s="589" t="s">
        <v>408</v>
      </c>
      <c r="C14" s="590" t="s">
        <v>408</v>
      </c>
      <c r="D14" s="590" t="s">
        <v>409</v>
      </c>
      <c r="E14" s="591">
        <f>세입예산서!Q97</f>
        <v>0</v>
      </c>
      <c r="F14" s="591">
        <f>추경세입예산서!Q81</f>
        <v>0</v>
      </c>
      <c r="G14" s="593">
        <f t="shared" si="0"/>
        <v>0</v>
      </c>
      <c r="H14" s="594" t="s">
        <v>401</v>
      </c>
      <c r="I14" s="590" t="s">
        <v>413</v>
      </c>
      <c r="J14" s="590" t="str">
        <f>세출예산서!G52</f>
        <v xml:space="preserve"> - 기타 종사자 :</v>
      </c>
      <c r="K14" s="591">
        <f>세출예산서!Q52</f>
        <v>0</v>
      </c>
      <c r="L14" s="591">
        <f>'추경세출예산서 '!Q53</f>
        <v>0</v>
      </c>
      <c r="M14" s="642">
        <f t="shared" si="1"/>
        <v>0</v>
      </c>
    </row>
    <row r="15" spans="1:17">
      <c r="A15" s="588">
        <v>8</v>
      </c>
      <c r="B15" s="589" t="s">
        <v>429</v>
      </c>
      <c r="C15" s="590" t="s">
        <v>429</v>
      </c>
      <c r="D15" s="590" t="s">
        <v>430</v>
      </c>
      <c r="E15" s="591">
        <f>세입예산서!Q103</f>
        <v>25200000</v>
      </c>
      <c r="F15" s="591">
        <v>0</v>
      </c>
      <c r="G15" s="593">
        <f t="shared" si="0"/>
        <v>-25200000</v>
      </c>
      <c r="H15" s="678" t="s">
        <v>401</v>
      </c>
      <c r="I15" s="677" t="s">
        <v>413</v>
      </c>
      <c r="J15" s="590" t="str">
        <f>세출예산서!G54</f>
        <v>ㅇ 기관운영비</v>
      </c>
      <c r="K15" s="591">
        <f>세출예산서!Q54</f>
        <v>0</v>
      </c>
      <c r="L15" s="591">
        <f>'추경세출예산서 '!Q55</f>
        <v>3041666.6666666665</v>
      </c>
      <c r="M15" s="642">
        <f t="shared" si="1"/>
        <v>3041666.6666666665</v>
      </c>
    </row>
    <row r="16" spans="1:17">
      <c r="A16" s="588">
        <v>9</v>
      </c>
      <c r="B16" s="589" t="s">
        <v>411</v>
      </c>
      <c r="C16" s="590" t="s">
        <v>411</v>
      </c>
      <c r="D16" s="590" t="s">
        <v>412</v>
      </c>
      <c r="E16" s="591">
        <f>세입예산서!Q115</f>
        <v>0</v>
      </c>
      <c r="F16" s="591">
        <f>추경세입예산서!Q96</f>
        <v>1801387</v>
      </c>
      <c r="G16" s="593">
        <f t="shared" si="0"/>
        <v>1801387</v>
      </c>
      <c r="H16" s="678"/>
      <c r="I16" s="677"/>
      <c r="J16" s="590" t="str">
        <f>세출예산서!G65</f>
        <v>ㅇ 수용비및수수료</v>
      </c>
      <c r="K16" s="591">
        <f>세출예산서!Q65</f>
        <v>2280000</v>
      </c>
      <c r="L16" s="591">
        <f>'추경세출예산서 '!Q65</f>
        <v>2400000</v>
      </c>
      <c r="M16" s="642">
        <f t="shared" si="1"/>
        <v>120000</v>
      </c>
    </row>
    <row r="17" spans="1:14">
      <c r="A17" s="588">
        <v>10</v>
      </c>
      <c r="B17" s="682" t="s">
        <v>431</v>
      </c>
      <c r="C17" s="683" t="s">
        <v>431</v>
      </c>
      <c r="D17" s="683" t="s">
        <v>432</v>
      </c>
      <c r="E17" s="684">
        <f>세입예산서!Q121</f>
        <v>1945040</v>
      </c>
      <c r="F17" s="684">
        <f>추경세입예산서!Q103</f>
        <v>5000</v>
      </c>
      <c r="G17" s="593">
        <f t="shared" si="0"/>
        <v>-1940040</v>
      </c>
      <c r="H17" s="678"/>
      <c r="I17" s="677"/>
      <c r="J17" s="590" t="str">
        <f>세출예산서!G71</f>
        <v xml:space="preserve"> - 안전점검</v>
      </c>
      <c r="K17" s="591">
        <f>세출예산서!Q71</f>
        <v>300000</v>
      </c>
      <c r="L17" s="591">
        <f>'추경세출예산서 '!Q70</f>
        <v>14700000</v>
      </c>
      <c r="M17" s="642">
        <f t="shared" si="1"/>
        <v>14400000</v>
      </c>
      <c r="N17" s="585"/>
    </row>
    <row r="18" spans="1:14" ht="33.75">
      <c r="A18" s="588">
        <v>11</v>
      </c>
      <c r="B18" s="685" t="s">
        <v>433</v>
      </c>
      <c r="C18" s="686" t="s">
        <v>434</v>
      </c>
      <c r="D18" s="686" t="s">
        <v>435</v>
      </c>
      <c r="E18" s="687">
        <f>세입예산서!Q132</f>
        <v>0</v>
      </c>
      <c r="F18" s="687">
        <f>추경세입예산서!Q113</f>
        <v>0</v>
      </c>
      <c r="G18" s="593">
        <f t="shared" si="0"/>
        <v>0</v>
      </c>
      <c r="H18" s="678"/>
      <c r="I18" s="677"/>
      <c r="J18" s="590" t="str">
        <f>세출예산서!G77</f>
        <v xml:space="preserve"> - 자동차보험</v>
      </c>
      <c r="K18" s="591">
        <f>세출예산서!Q77</f>
        <v>0</v>
      </c>
      <c r="L18" s="591">
        <f>'추경세출예산서 '!Q75</f>
        <v>1700000</v>
      </c>
      <c r="M18" s="642">
        <f t="shared" si="1"/>
        <v>1700000</v>
      </c>
    </row>
    <row r="19" spans="1:14">
      <c r="A19" s="588">
        <v>12</v>
      </c>
      <c r="B19" s="676"/>
      <c r="C19" s="677"/>
      <c r="D19" s="590"/>
      <c r="E19" s="688">
        <v>0</v>
      </c>
      <c r="F19" s="688">
        <v>0</v>
      </c>
      <c r="G19" s="593">
        <f t="shared" si="0"/>
        <v>0</v>
      </c>
      <c r="H19" s="678"/>
      <c r="I19" s="677"/>
      <c r="J19" s="590" t="str">
        <f>세출예산서!G80</f>
        <v xml:space="preserve"> - 화재보험</v>
      </c>
      <c r="K19" s="591">
        <f>세출예산서!Q80</f>
        <v>50000</v>
      </c>
      <c r="L19" s="591">
        <f>'추경세출예산서 '!Q78</f>
        <v>0</v>
      </c>
      <c r="M19" s="642">
        <f t="shared" si="1"/>
        <v>-50000</v>
      </c>
    </row>
    <row r="20" spans="1:14">
      <c r="A20" s="588">
        <v>13</v>
      </c>
      <c r="B20" s="676"/>
      <c r="C20" s="677"/>
      <c r="D20" s="590"/>
      <c r="E20" s="688">
        <v>0</v>
      </c>
      <c r="F20" s="688">
        <v>0</v>
      </c>
      <c r="G20" s="593">
        <f t="shared" si="0"/>
        <v>0</v>
      </c>
      <c r="H20" s="678"/>
      <c r="I20" s="677"/>
      <c r="J20" s="677" t="str">
        <f>세출예산서!G82</f>
        <v>ㅇ 공공요금</v>
      </c>
      <c r="K20" s="689">
        <f>세출예산서!Q82</f>
        <v>5000000</v>
      </c>
      <c r="L20" s="689">
        <f>'추경세출예산서 '!Q80</f>
        <v>6600000</v>
      </c>
      <c r="M20" s="642">
        <f t="shared" si="1"/>
        <v>1600000</v>
      </c>
    </row>
    <row r="21" spans="1:14">
      <c r="A21" s="588">
        <v>14</v>
      </c>
      <c r="B21" s="676"/>
      <c r="C21" s="677"/>
      <c r="D21" s="590"/>
      <c r="E21" s="688">
        <v>0</v>
      </c>
      <c r="F21" s="688">
        <v>0</v>
      </c>
      <c r="G21" s="593">
        <f t="shared" si="0"/>
        <v>0</v>
      </c>
      <c r="H21" s="690" t="s">
        <v>254</v>
      </c>
      <c r="I21" s="691" t="s">
        <v>445</v>
      </c>
      <c r="J21" s="691" t="str">
        <f>세출예산서!G95</f>
        <v>ㅇ 기타운영비</v>
      </c>
      <c r="K21" s="692">
        <f>세출예산서!Q94</f>
        <v>17710000</v>
      </c>
      <c r="L21" s="692">
        <f>'추경세출예산서 '!Q88</f>
        <v>0</v>
      </c>
      <c r="M21" s="642">
        <f t="shared" si="1"/>
        <v>-17710000</v>
      </c>
    </row>
    <row r="22" spans="1:14">
      <c r="A22" s="588">
        <v>15</v>
      </c>
      <c r="B22" s="676"/>
      <c r="C22" s="677"/>
      <c r="D22" s="590"/>
      <c r="E22" s="688">
        <v>0</v>
      </c>
      <c r="F22" s="688">
        <v>0</v>
      </c>
      <c r="G22" s="593">
        <f t="shared" si="0"/>
        <v>0</v>
      </c>
      <c r="H22" s="678" t="s">
        <v>414</v>
      </c>
      <c r="I22" s="677" t="s">
        <v>413</v>
      </c>
      <c r="J22" s="590">
        <f>세출예산서!G103</f>
        <v>0</v>
      </c>
      <c r="K22" s="591">
        <f>세출예산서!Q103</f>
        <v>0</v>
      </c>
      <c r="L22" s="591">
        <f>'추경세출예산서 '!Q95</f>
        <v>17520000</v>
      </c>
      <c r="M22" s="642">
        <f t="shared" si="1"/>
        <v>17520000</v>
      </c>
    </row>
    <row r="23" spans="1:14">
      <c r="A23" s="588">
        <v>16</v>
      </c>
      <c r="B23" s="676"/>
      <c r="C23" s="677"/>
      <c r="D23" s="590"/>
      <c r="E23" s="688">
        <v>0</v>
      </c>
      <c r="F23" s="688">
        <v>0</v>
      </c>
      <c r="G23" s="593">
        <f t="shared" si="0"/>
        <v>0</v>
      </c>
      <c r="H23" s="678"/>
      <c r="I23" s="677"/>
      <c r="J23" s="590" t="str">
        <f>세출예산서!G106</f>
        <v xml:space="preserve"> - 강화문</v>
      </c>
      <c r="K23" s="591">
        <f>세출예산서!Q106</f>
        <v>0</v>
      </c>
      <c r="L23" s="591">
        <f>'추경세출예산서 '!Q98</f>
        <v>0</v>
      </c>
      <c r="M23" s="642">
        <f t="shared" si="1"/>
        <v>0</v>
      </c>
    </row>
    <row r="24" spans="1:14">
      <c r="A24" s="588">
        <v>17</v>
      </c>
      <c r="B24" s="676"/>
      <c r="C24" s="677"/>
      <c r="D24" s="590"/>
      <c r="E24" s="688">
        <v>0</v>
      </c>
      <c r="F24" s="688">
        <v>0</v>
      </c>
      <c r="G24" s="593">
        <f t="shared" si="0"/>
        <v>0</v>
      </c>
      <c r="H24" s="678"/>
      <c r="I24" s="677"/>
      <c r="J24" s="590" t="str">
        <f>세출예산서!G111</f>
        <v xml:space="preserve"> -시설장비유지비</v>
      </c>
      <c r="K24" s="591">
        <f>세출예산서!Q111</f>
        <v>0</v>
      </c>
      <c r="L24" s="591">
        <f>'추경세출예산서 '!Q101</f>
        <v>6600000</v>
      </c>
      <c r="M24" s="642">
        <f t="shared" si="1"/>
        <v>6600000</v>
      </c>
    </row>
    <row r="25" spans="1:14">
      <c r="A25" s="588">
        <v>18</v>
      </c>
      <c r="B25" s="676"/>
      <c r="C25" s="677"/>
      <c r="D25" s="590"/>
      <c r="E25" s="688">
        <v>0</v>
      </c>
      <c r="F25" s="688">
        <v>0</v>
      </c>
      <c r="G25" s="593">
        <f t="shared" si="0"/>
        <v>0</v>
      </c>
      <c r="H25" s="678"/>
      <c r="I25" s="677"/>
      <c r="J25" s="590" t="str">
        <f>세출예산서!G115</f>
        <v>ㅇ 생계비</v>
      </c>
      <c r="K25" s="591">
        <f>세출예산서!Q115</f>
        <v>9768000</v>
      </c>
      <c r="L25" s="591">
        <f>'추경세출예산서 '!Q105</f>
        <v>0</v>
      </c>
      <c r="M25" s="642">
        <f t="shared" si="1"/>
        <v>-9768000</v>
      </c>
    </row>
    <row r="26" spans="1:14">
      <c r="A26" s="588">
        <v>19</v>
      </c>
      <c r="B26" s="676"/>
      <c r="C26" s="677"/>
      <c r="D26" s="590"/>
      <c r="E26" s="688">
        <v>0</v>
      </c>
      <c r="F26" s="688">
        <v>0</v>
      </c>
      <c r="G26" s="593">
        <f t="shared" si="0"/>
        <v>0</v>
      </c>
      <c r="H26" s="678"/>
      <c r="I26" s="590"/>
      <c r="J26" s="590" t="str">
        <f>세출예산서!G117</f>
        <v xml:space="preserve"> - 생계비</v>
      </c>
      <c r="K26" s="591">
        <f>세출예산서!Q117</f>
        <v>7488000</v>
      </c>
      <c r="L26" s="591">
        <f>'추경세출예산서 '!Q107</f>
        <v>0</v>
      </c>
      <c r="M26" s="642">
        <f t="shared" si="1"/>
        <v>-7488000</v>
      </c>
    </row>
    <row r="27" spans="1:14">
      <c r="A27" s="588">
        <v>20</v>
      </c>
      <c r="B27" s="676"/>
      <c r="C27" s="677"/>
      <c r="D27" s="590"/>
      <c r="E27" s="688"/>
      <c r="F27" s="688"/>
      <c r="G27" s="593">
        <f t="shared" si="0"/>
        <v>0</v>
      </c>
      <c r="H27" s="685" t="s">
        <v>446</v>
      </c>
      <c r="I27" s="590" t="s">
        <v>446</v>
      </c>
      <c r="J27" s="590" t="str">
        <f>세출예산서!G122</f>
        <v xml:space="preserve"> - 생계비(수급자)</v>
      </c>
      <c r="K27" s="591">
        <f>세출예산서!Q122</f>
        <v>0</v>
      </c>
      <c r="L27" s="591">
        <f>'추경세출예산서 '!Q110</f>
        <v>0</v>
      </c>
      <c r="M27" s="642">
        <f t="shared" si="1"/>
        <v>0</v>
      </c>
    </row>
    <row r="28" spans="1:14">
      <c r="A28" s="588">
        <v>21</v>
      </c>
      <c r="B28" s="676"/>
      <c r="C28" s="677"/>
      <c r="D28" s="590"/>
      <c r="E28" s="688">
        <v>0</v>
      </c>
      <c r="F28" s="688">
        <v>0</v>
      </c>
      <c r="G28" s="593">
        <f t="shared" si="0"/>
        <v>0</v>
      </c>
      <c r="H28" s="594" t="s">
        <v>447</v>
      </c>
      <c r="I28" s="590" t="s">
        <v>447</v>
      </c>
      <c r="J28" s="590" t="str">
        <f>세출예산서!G127</f>
        <v xml:space="preserve"> - 목욕용품</v>
      </c>
      <c r="K28" s="591">
        <f>세출예산서!Q126</f>
        <v>60000</v>
      </c>
      <c r="L28" s="591">
        <f>'추경세출예산서 '!Q112</f>
        <v>25200000</v>
      </c>
      <c r="M28" s="642">
        <f t="shared" si="1"/>
        <v>25140000</v>
      </c>
    </row>
    <row r="29" spans="1:14">
      <c r="A29" s="588">
        <v>22</v>
      </c>
      <c r="B29" s="676"/>
      <c r="C29" s="677"/>
      <c r="D29" s="590"/>
      <c r="E29" s="688">
        <v>0</v>
      </c>
      <c r="F29" s="688">
        <v>0</v>
      </c>
      <c r="G29" s="593">
        <f t="shared" si="0"/>
        <v>0</v>
      </c>
      <c r="H29" s="685" t="s">
        <v>454</v>
      </c>
      <c r="I29" s="590" t="s">
        <v>454</v>
      </c>
      <c r="J29" s="590">
        <f>세출예산서!G132</f>
        <v>0</v>
      </c>
      <c r="K29" s="591">
        <f>세출예산서!Q130</f>
        <v>0</v>
      </c>
      <c r="L29" s="591">
        <f>'추경세출예산서 '!Q116</f>
        <v>0</v>
      </c>
      <c r="M29" s="642">
        <f t="shared" si="1"/>
        <v>0</v>
      </c>
    </row>
    <row r="30" spans="1:14">
      <c r="A30" s="588">
        <v>23</v>
      </c>
      <c r="B30" s="676"/>
      <c r="C30" s="677"/>
      <c r="D30" s="590"/>
      <c r="E30" s="688">
        <v>0</v>
      </c>
      <c r="F30" s="688">
        <v>0</v>
      </c>
      <c r="G30" s="593">
        <f t="shared" si="0"/>
        <v>0</v>
      </c>
      <c r="H30" s="678" t="s">
        <v>448</v>
      </c>
      <c r="I30" s="677" t="s">
        <v>415</v>
      </c>
      <c r="J30" s="590" t="str">
        <f>세출예산서!G135</f>
        <v>신체활동프로그램</v>
      </c>
      <c r="K30" s="591">
        <f>세출예산서!Q130</f>
        <v>0</v>
      </c>
      <c r="L30" s="591">
        <f>'추경세출예산서 '!Q121</f>
        <v>0</v>
      </c>
      <c r="M30" s="642">
        <f t="shared" si="1"/>
        <v>0</v>
      </c>
    </row>
    <row r="31" spans="1:14">
      <c r="A31" s="588">
        <v>24</v>
      </c>
      <c r="B31" s="676"/>
      <c r="C31" s="677"/>
      <c r="D31" s="590"/>
      <c r="E31" s="688">
        <v>0</v>
      </c>
      <c r="F31" s="688">
        <v>0</v>
      </c>
      <c r="G31" s="593">
        <f t="shared" si="0"/>
        <v>0</v>
      </c>
      <c r="H31" s="594"/>
      <c r="I31" s="590"/>
      <c r="J31" s="590" t="str">
        <f>세출예산서!G139</f>
        <v>ㅇ 기타전출금</v>
      </c>
      <c r="K31" s="591">
        <f>세출예산서!Q139</f>
        <v>9000000</v>
      </c>
      <c r="L31" s="591">
        <f>'추경세출예산서 '!Q124</f>
        <v>0</v>
      </c>
      <c r="M31" s="642">
        <f t="shared" si="1"/>
        <v>-9000000</v>
      </c>
    </row>
    <row r="32" spans="1:14">
      <c r="A32" s="588">
        <v>25</v>
      </c>
      <c r="B32" s="676"/>
      <c r="C32" s="677"/>
      <c r="D32" s="590"/>
      <c r="E32" s="688">
        <v>0</v>
      </c>
      <c r="F32" s="688">
        <v>0</v>
      </c>
      <c r="G32" s="593">
        <f t="shared" si="0"/>
        <v>0</v>
      </c>
      <c r="H32" s="594" t="s">
        <v>416</v>
      </c>
      <c r="I32" s="590" t="s">
        <v>416</v>
      </c>
      <c r="J32" s="590">
        <f>세출예산서!G143</f>
        <v>0</v>
      </c>
      <c r="K32" s="591">
        <f>세출예산서!Q141</f>
        <v>9000000</v>
      </c>
      <c r="L32" s="591">
        <f>'추경세출예산서 '!Q126</f>
        <v>870695</v>
      </c>
      <c r="M32" s="642">
        <f t="shared" si="1"/>
        <v>-8129305</v>
      </c>
    </row>
    <row r="33" spans="1:13">
      <c r="A33" s="588">
        <v>26</v>
      </c>
      <c r="B33" s="676"/>
      <c r="C33" s="677"/>
      <c r="D33" s="590"/>
      <c r="E33" s="688">
        <v>0</v>
      </c>
      <c r="F33" s="688">
        <v>0</v>
      </c>
      <c r="G33" s="593">
        <f t="shared" si="0"/>
        <v>0</v>
      </c>
      <c r="H33" s="594" t="s">
        <v>449</v>
      </c>
      <c r="I33" s="590" t="s">
        <v>450</v>
      </c>
      <c r="J33" s="590">
        <f>세출예산서!G146</f>
        <v>0</v>
      </c>
      <c r="K33" s="591">
        <f>세출예산서!Q144</f>
        <v>0</v>
      </c>
      <c r="L33" s="591">
        <f>'추경세출예산서 '!Q129</f>
        <v>8783420</v>
      </c>
      <c r="M33" s="642">
        <f t="shared" si="1"/>
        <v>8783420</v>
      </c>
    </row>
    <row r="34" spans="1:13" ht="22.5">
      <c r="A34" s="588">
        <v>27</v>
      </c>
      <c r="B34" s="676"/>
      <c r="C34" s="677"/>
      <c r="D34" s="590"/>
      <c r="E34" s="688">
        <v>0</v>
      </c>
      <c r="F34" s="688">
        <v>0</v>
      </c>
      <c r="G34" s="593">
        <f t="shared" si="0"/>
        <v>0</v>
      </c>
      <c r="H34" s="682" t="s">
        <v>451</v>
      </c>
      <c r="I34" s="683" t="s">
        <v>452</v>
      </c>
      <c r="J34" s="683" t="str">
        <f>세출예산서!G150</f>
        <v>ㅇ 이자지금금</v>
      </c>
      <c r="K34" s="693">
        <v>0</v>
      </c>
      <c r="L34" s="591">
        <f>'추경세출예산서 '!Q134</f>
        <v>0</v>
      </c>
      <c r="M34" s="642">
        <f t="shared" si="1"/>
        <v>0</v>
      </c>
    </row>
    <row r="35" spans="1:13" ht="23.25" thickBot="1">
      <c r="A35" s="588">
        <v>28</v>
      </c>
      <c r="B35" s="676"/>
      <c r="C35" s="677"/>
      <c r="D35" s="590"/>
      <c r="E35" s="688">
        <v>0</v>
      </c>
      <c r="F35" s="688">
        <v>0</v>
      </c>
      <c r="G35" s="593">
        <f t="shared" si="0"/>
        <v>0</v>
      </c>
      <c r="H35" s="694" t="s">
        <v>453</v>
      </c>
      <c r="I35" s="695" t="s">
        <v>452</v>
      </c>
      <c r="J35" s="696" t="str">
        <f>세출예산서!G154</f>
        <v xml:space="preserve"> - 잡지출 </v>
      </c>
      <c r="K35" s="697">
        <f>세출예산서!Q152</f>
        <v>1007179</v>
      </c>
      <c r="L35" s="697">
        <f>'추경세출예산서 '!Q138</f>
        <v>0</v>
      </c>
      <c r="M35" s="642">
        <f t="shared" si="1"/>
        <v>-1007179</v>
      </c>
    </row>
    <row r="36" spans="1:13" s="584" customFormat="1" ht="33.75" customHeight="1" thickBot="1">
      <c r="A36" s="1237" t="s">
        <v>417</v>
      </c>
      <c r="B36" s="1238"/>
      <c r="C36" s="1238"/>
      <c r="D36" s="1239"/>
      <c r="E36" s="698">
        <f>SUM(E6:E35)</f>
        <v>108276200</v>
      </c>
      <c r="F36" s="698">
        <f>SUM(F6:F35)</f>
        <v>400863418.60000002</v>
      </c>
      <c r="G36" s="699">
        <f>SUM(G6:G35)</f>
        <v>292587218.60000002</v>
      </c>
      <c r="H36" s="1237" t="s">
        <v>417</v>
      </c>
      <c r="I36" s="1238"/>
      <c r="J36" s="1239"/>
      <c r="K36" s="698" t="e">
        <f>SUM(K6:K35)</f>
        <v>#REF!</v>
      </c>
      <c r="L36" s="698">
        <f>SUM(L6:L35)</f>
        <v>367497159.13866669</v>
      </c>
      <c r="M36" s="700" t="e">
        <f>SUM(M6:M35)</f>
        <v>#REF!</v>
      </c>
    </row>
  </sheetData>
  <mergeCells count="19">
    <mergeCell ref="A36:D36"/>
    <mergeCell ref="H36:J36"/>
    <mergeCell ref="A2:C2"/>
    <mergeCell ref="D2:F2"/>
    <mergeCell ref="A3:A5"/>
    <mergeCell ref="B3:G3"/>
    <mergeCell ref="H3:M3"/>
    <mergeCell ref="J4:J5"/>
    <mergeCell ref="B12:B13"/>
    <mergeCell ref="C12:C13"/>
    <mergeCell ref="B4:B5"/>
    <mergeCell ref="C4:C5"/>
    <mergeCell ref="D4:D5"/>
    <mergeCell ref="E4:G4"/>
    <mergeCell ref="H4:H5"/>
    <mergeCell ref="I4:I5"/>
    <mergeCell ref="A1:M1"/>
    <mergeCell ref="L2:M2"/>
    <mergeCell ref="K4:M4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2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8"/>
  <sheetViews>
    <sheetView zoomScaleSheetLayoutView="100" workbookViewId="0">
      <pane ySplit="5" topLeftCell="A114" activePane="bottomLeft" state="frozen"/>
      <selection pane="bottomLeft" activeCell="D5" sqref="D5"/>
    </sheetView>
  </sheetViews>
  <sheetFormatPr defaultColWidth="8.88671875" defaultRowHeight="12.95" customHeight="1"/>
  <cols>
    <col min="1" max="1" width="3.33203125" style="2" customWidth="1"/>
    <col min="2" max="2" width="3.5546875" style="2" customWidth="1"/>
    <col min="3" max="3" width="11.6640625" style="2" customWidth="1"/>
    <col min="4" max="4" width="6.77734375" style="601" bestFit="1" customWidth="1"/>
    <col min="5" max="5" width="7.6640625" style="3" customWidth="1"/>
    <col min="6" max="6" width="8.33203125" style="121" bestFit="1" customWidth="1"/>
    <col min="7" max="7" width="10.44140625" style="117" customWidth="1"/>
    <col min="8" max="8" width="8.6640625" style="2" bestFit="1" customWidth="1"/>
    <col min="9" max="9" width="1.6640625" style="3" customWidth="1"/>
    <col min="10" max="10" width="1.5546875" style="3" customWidth="1"/>
    <col min="11" max="11" width="2.21875" style="4" customWidth="1"/>
    <col min="12" max="12" width="2.21875" style="2" customWidth="1"/>
    <col min="13" max="13" width="1.33203125" style="2" customWidth="1"/>
    <col min="14" max="14" width="2.5546875" style="458" customWidth="1"/>
    <col min="15" max="15" width="1.88671875" style="2" customWidth="1"/>
    <col min="16" max="16" width="1.77734375" style="2" customWidth="1"/>
    <col min="17" max="17" width="12.88671875" style="27" customWidth="1"/>
    <col min="18" max="19" width="11.88671875" style="2" customWidth="1"/>
    <col min="20" max="20" width="9" style="2" bestFit="1" customWidth="1"/>
    <col min="21" max="16384" width="8.88671875" style="2"/>
  </cols>
  <sheetData>
    <row r="1" spans="1:20" ht="40.5" customHeight="1">
      <c r="A1" s="1080" t="s">
        <v>386</v>
      </c>
      <c r="B1" s="1080"/>
      <c r="C1" s="1080"/>
      <c r="D1" s="1080"/>
      <c r="E1" s="1080"/>
      <c r="F1" s="1080"/>
      <c r="G1" s="1080"/>
      <c r="H1" s="1080"/>
      <c r="I1" s="1080"/>
      <c r="J1" s="1080"/>
      <c r="K1" s="1080"/>
      <c r="L1" s="1080"/>
      <c r="M1" s="1080"/>
      <c r="N1" s="1080"/>
      <c r="O1" s="1080"/>
      <c r="P1" s="1080"/>
      <c r="Q1" s="1080"/>
      <c r="R1" s="402"/>
      <c r="S1" s="402"/>
      <c r="T1" s="402"/>
    </row>
    <row r="2" spans="1:20" ht="26.25" thickBot="1">
      <c r="A2" s="1111" t="s">
        <v>422</v>
      </c>
      <c r="B2" s="1111"/>
      <c r="C2" s="1111"/>
      <c r="D2" s="1110" t="s">
        <v>195</v>
      </c>
      <c r="E2" s="1110"/>
      <c r="F2" s="1110"/>
      <c r="G2" s="521"/>
      <c r="H2" s="522"/>
      <c r="I2" s="1098" t="str">
        <f>표제!A42</f>
        <v>YJ주야간보호센터</v>
      </c>
      <c r="J2" s="1098"/>
      <c r="K2" s="1098"/>
      <c r="L2" s="1098"/>
      <c r="M2" s="1098"/>
      <c r="N2" s="1098"/>
      <c r="O2" s="1098"/>
      <c r="P2" s="1098"/>
      <c r="Q2" s="1098"/>
      <c r="R2" s="1120" t="s">
        <v>184</v>
      </c>
      <c r="S2" s="1120"/>
      <c r="T2" s="1120"/>
    </row>
    <row r="3" spans="1:20" s="122" customFormat="1" ht="26.25" customHeight="1">
      <c r="A3" s="1159" t="s">
        <v>141</v>
      </c>
      <c r="B3" s="1160"/>
      <c r="C3" s="1160"/>
      <c r="D3" s="1287" t="s">
        <v>436</v>
      </c>
      <c r="E3" s="1289" t="s">
        <v>437</v>
      </c>
      <c r="F3" s="1291" t="s">
        <v>161</v>
      </c>
      <c r="G3" s="1123" t="s">
        <v>192</v>
      </c>
      <c r="H3" s="1124"/>
      <c r="I3" s="1124"/>
      <c r="J3" s="1124"/>
      <c r="K3" s="1124"/>
      <c r="L3" s="1124"/>
      <c r="M3" s="1124"/>
      <c r="N3" s="1124"/>
      <c r="O3" s="1124"/>
      <c r="P3" s="1124"/>
      <c r="Q3" s="1121" t="s">
        <v>191</v>
      </c>
      <c r="R3" s="1112" t="s">
        <v>186</v>
      </c>
      <c r="S3" s="1293" t="s">
        <v>185</v>
      </c>
      <c r="T3" s="1116" t="s">
        <v>187</v>
      </c>
    </row>
    <row r="4" spans="1:20" s="122" customFormat="1" ht="26.25" customHeight="1">
      <c r="A4" s="523" t="s">
        <v>17</v>
      </c>
      <c r="B4" s="580" t="s">
        <v>18</v>
      </c>
      <c r="C4" s="580" t="s">
        <v>19</v>
      </c>
      <c r="D4" s="1288"/>
      <c r="E4" s="1290"/>
      <c r="F4" s="1292"/>
      <c r="G4" s="1125"/>
      <c r="H4" s="1126"/>
      <c r="I4" s="1126"/>
      <c r="J4" s="1126"/>
      <c r="K4" s="1126"/>
      <c r="L4" s="1126"/>
      <c r="M4" s="1126"/>
      <c r="N4" s="1126"/>
      <c r="O4" s="1126"/>
      <c r="P4" s="1126"/>
      <c r="Q4" s="1122"/>
      <c r="R4" s="1113"/>
      <c r="S4" s="1115"/>
      <c r="T4" s="1117"/>
    </row>
    <row r="5" spans="1:20" ht="22.5" customHeight="1" thickBot="1">
      <c r="A5" s="1283" t="s">
        <v>30</v>
      </c>
      <c r="B5" s="1284"/>
      <c r="C5" s="1284"/>
      <c r="D5" s="607">
        <f>세입예산서!E5</f>
        <v>108276200</v>
      </c>
      <c r="E5" s="388">
        <f>E6+E33+E37+E41+E59+E55+E79+E85+E95+E103+E113</f>
        <v>389179097</v>
      </c>
      <c r="F5" s="608">
        <f>E5-D5</f>
        <v>280902897</v>
      </c>
      <c r="G5" s="609"/>
      <c r="H5" s="610"/>
      <c r="I5" s="610"/>
      <c r="J5" s="610"/>
      <c r="K5" s="610"/>
      <c r="L5" s="610"/>
      <c r="M5" s="610"/>
      <c r="N5" s="1285">
        <f>Q6+Q33+Q37+Q41+N59+Q55+Q79+Q85+Q95+Q103+Q113</f>
        <v>400863418.60000002</v>
      </c>
      <c r="O5" s="1285"/>
      <c r="P5" s="1285"/>
      <c r="Q5" s="1286"/>
      <c r="R5" s="405"/>
      <c r="S5" s="285"/>
      <c r="T5" s="285"/>
    </row>
    <row r="6" spans="1:20" ht="23.25" customHeight="1">
      <c r="A6" s="1149" t="s">
        <v>43</v>
      </c>
      <c r="B6" s="1153"/>
      <c r="C6" s="1153"/>
      <c r="D6" s="602">
        <f>세입예산서!E6</f>
        <v>16378362</v>
      </c>
      <c r="E6" s="72">
        <f>E7+E28</f>
        <v>84290910</v>
      </c>
      <c r="F6" s="541">
        <f>E6-D6</f>
        <v>67912548</v>
      </c>
      <c r="G6" s="603"/>
      <c r="H6" s="604"/>
      <c r="I6" s="604"/>
      <c r="J6" s="604"/>
      <c r="K6" s="604"/>
      <c r="L6" s="604"/>
      <c r="M6" s="604"/>
      <c r="N6" s="605"/>
      <c r="O6" s="604"/>
      <c r="P6" s="604"/>
      <c r="Q6" s="606">
        <f>Q7+Q28</f>
        <v>84290910</v>
      </c>
      <c r="R6" s="405"/>
      <c r="S6" s="285"/>
      <c r="T6" s="285"/>
    </row>
    <row r="7" spans="1:20" ht="21" customHeight="1">
      <c r="A7" s="337"/>
      <c r="B7" s="1071" t="s">
        <v>35</v>
      </c>
      <c r="C7" s="1072"/>
      <c r="D7" s="595">
        <f>세입예산서!E7</f>
        <v>16378362</v>
      </c>
      <c r="E7" s="44">
        <f>E8+E25</f>
        <v>84290910</v>
      </c>
      <c r="F7" s="119">
        <f>E7-D7</f>
        <v>67912548</v>
      </c>
      <c r="G7" s="127"/>
      <c r="H7" s="128"/>
      <c r="I7" s="128"/>
      <c r="J7" s="128"/>
      <c r="K7" s="128"/>
      <c r="L7" s="128"/>
      <c r="M7" s="128"/>
      <c r="N7" s="438"/>
      <c r="O7" s="128"/>
      <c r="P7" s="128"/>
      <c r="Q7" s="524">
        <f>Q8+Q25+Q28</f>
        <v>84290910</v>
      </c>
      <c r="R7" s="405"/>
      <c r="S7" s="286">
        <f>Q7</f>
        <v>84290910</v>
      </c>
      <c r="T7" s="285"/>
    </row>
    <row r="8" spans="1:20" ht="21" customHeight="1">
      <c r="A8" s="338"/>
      <c r="B8" s="7"/>
      <c r="C8" s="271" t="s">
        <v>36</v>
      </c>
      <c r="D8" s="272">
        <f>세입예산서!E8</f>
        <v>8890362</v>
      </c>
      <c r="E8" s="272">
        <f>Q8</f>
        <v>43958410</v>
      </c>
      <c r="F8" s="272">
        <f>E8-D8</f>
        <v>35068048</v>
      </c>
      <c r="G8" s="110" t="s">
        <v>37</v>
      </c>
      <c r="H8" s="136"/>
      <c r="I8" s="16"/>
      <c r="J8" s="1081">
        <f>SUM(K9:K24)</f>
        <v>16</v>
      </c>
      <c r="K8" s="1081"/>
      <c r="L8" s="1081"/>
      <c r="M8" s="16"/>
      <c r="N8" s="439"/>
      <c r="O8" s="16"/>
      <c r="P8" s="137"/>
      <c r="Q8" s="525">
        <f>SUM(Q9:Q24)</f>
        <v>43958410</v>
      </c>
      <c r="R8" s="520"/>
      <c r="S8" s="285"/>
      <c r="T8" s="285"/>
    </row>
    <row r="9" spans="1:20" ht="24" customHeight="1">
      <c r="A9" s="338"/>
      <c r="B9" s="50"/>
      <c r="C9" s="273"/>
      <c r="D9" s="274"/>
      <c r="E9" s="274"/>
      <c r="F9" s="274"/>
      <c r="G9" s="106" t="s">
        <v>129</v>
      </c>
      <c r="H9" s="28">
        <f>65190*0.2</f>
        <v>13038</v>
      </c>
      <c r="I9" s="20" t="s">
        <v>0</v>
      </c>
      <c r="J9" s="20" t="s">
        <v>1</v>
      </c>
      <c r="K9" s="86">
        <v>0</v>
      </c>
      <c r="L9" s="20" t="s">
        <v>2</v>
      </c>
      <c r="M9" s="20" t="s">
        <v>1</v>
      </c>
      <c r="N9" s="440">
        <v>365</v>
      </c>
      <c r="O9" s="20" t="s">
        <v>179</v>
      </c>
      <c r="P9" s="20" t="s">
        <v>3</v>
      </c>
      <c r="Q9" s="509">
        <f t="shared" ref="Q9:Q24" si="0">(H9*K9)*N9</f>
        <v>0</v>
      </c>
      <c r="R9" s="405"/>
      <c r="S9" s="285"/>
      <c r="T9" s="285"/>
    </row>
    <row r="10" spans="1:20" ht="24" customHeight="1">
      <c r="A10" s="338"/>
      <c r="B10" s="50"/>
      <c r="C10" s="273"/>
      <c r="D10" s="274"/>
      <c r="E10" s="274"/>
      <c r="F10" s="274"/>
      <c r="G10" s="107" t="s">
        <v>118</v>
      </c>
      <c r="H10" s="29">
        <f>H9/2</f>
        <v>6519</v>
      </c>
      <c r="I10" s="22" t="s">
        <v>0</v>
      </c>
      <c r="J10" s="22" t="s">
        <v>1</v>
      </c>
      <c r="K10" s="36">
        <v>1</v>
      </c>
      <c r="L10" s="22" t="s">
        <v>2</v>
      </c>
      <c r="M10" s="22" t="s">
        <v>1</v>
      </c>
      <c r="N10" s="441">
        <v>365</v>
      </c>
      <c r="O10" s="54" t="s">
        <v>179</v>
      </c>
      <c r="P10" s="22" t="s">
        <v>3</v>
      </c>
      <c r="Q10" s="526">
        <f t="shared" si="0"/>
        <v>2379435</v>
      </c>
      <c r="R10" s="405"/>
      <c r="S10" s="285"/>
      <c r="T10" s="285"/>
    </row>
    <row r="11" spans="1:20" ht="24" customHeight="1">
      <c r="A11" s="338"/>
      <c r="B11" s="50"/>
      <c r="C11" s="273"/>
      <c r="D11" s="274"/>
      <c r="E11" s="274"/>
      <c r="F11" s="274"/>
      <c r="G11" s="113" t="s">
        <v>132</v>
      </c>
      <c r="H11" s="29">
        <v>0</v>
      </c>
      <c r="I11" s="22" t="s">
        <v>0</v>
      </c>
      <c r="J11" s="22" t="s">
        <v>1</v>
      </c>
      <c r="K11" s="330">
        <v>0</v>
      </c>
      <c r="L11" s="22" t="s">
        <v>2</v>
      </c>
      <c r="M11" s="22" t="s">
        <v>1</v>
      </c>
      <c r="N11" s="441">
        <v>365</v>
      </c>
      <c r="O11" s="22" t="s">
        <v>178</v>
      </c>
      <c r="P11" s="22" t="s">
        <v>3</v>
      </c>
      <c r="Q11" s="526">
        <f t="shared" si="0"/>
        <v>0</v>
      </c>
      <c r="R11" s="405"/>
      <c r="S11" s="285"/>
      <c r="T11" s="285"/>
    </row>
    <row r="12" spans="1:20" ht="24" customHeight="1">
      <c r="A12" s="338"/>
      <c r="B12" s="50"/>
      <c r="C12" s="273"/>
      <c r="D12" s="274"/>
      <c r="E12" s="274"/>
      <c r="F12" s="274"/>
      <c r="G12" s="107" t="s">
        <v>119</v>
      </c>
      <c r="H12" s="29">
        <f>60490*0.2</f>
        <v>12098</v>
      </c>
      <c r="I12" s="22" t="s">
        <v>0</v>
      </c>
      <c r="J12" s="22" t="s">
        <v>1</v>
      </c>
      <c r="K12" s="36">
        <v>2</v>
      </c>
      <c r="L12" s="22" t="s">
        <v>2</v>
      </c>
      <c r="M12" s="22" t="s">
        <v>1</v>
      </c>
      <c r="N12" s="441">
        <v>365</v>
      </c>
      <c r="O12" s="54" t="s">
        <v>178</v>
      </c>
      <c r="P12" s="22" t="s">
        <v>3</v>
      </c>
      <c r="Q12" s="526">
        <f t="shared" si="0"/>
        <v>8831540</v>
      </c>
      <c r="R12" s="405"/>
      <c r="S12" s="285"/>
      <c r="T12" s="285"/>
    </row>
    <row r="13" spans="1:20" ht="24" customHeight="1">
      <c r="A13" s="338"/>
      <c r="B13" s="50"/>
      <c r="C13" s="273"/>
      <c r="D13" s="274"/>
      <c r="E13" s="274"/>
      <c r="F13" s="274"/>
      <c r="G13" s="107" t="s">
        <v>120</v>
      </c>
      <c r="H13" s="29">
        <f>H12/2</f>
        <v>6049</v>
      </c>
      <c r="I13" s="22" t="s">
        <v>0</v>
      </c>
      <c r="J13" s="22" t="s">
        <v>1</v>
      </c>
      <c r="K13" s="36">
        <v>1</v>
      </c>
      <c r="L13" s="22" t="s">
        <v>2</v>
      </c>
      <c r="M13" s="22" t="s">
        <v>1</v>
      </c>
      <c r="N13" s="441">
        <v>365</v>
      </c>
      <c r="O13" s="22" t="s">
        <v>178</v>
      </c>
      <c r="P13" s="22" t="s">
        <v>3</v>
      </c>
      <c r="Q13" s="526">
        <f t="shared" si="0"/>
        <v>2207885</v>
      </c>
      <c r="R13" s="405"/>
      <c r="S13" s="285"/>
      <c r="T13" s="285"/>
    </row>
    <row r="14" spans="1:20" ht="24" customHeight="1">
      <c r="A14" s="338"/>
      <c r="B14" s="50"/>
      <c r="C14" s="273"/>
      <c r="D14" s="274"/>
      <c r="E14" s="274"/>
      <c r="F14" s="274"/>
      <c r="G14" s="113" t="s">
        <v>133</v>
      </c>
      <c r="H14" s="29">
        <v>0</v>
      </c>
      <c r="I14" s="22" t="s">
        <v>0</v>
      </c>
      <c r="J14" s="22" t="s">
        <v>1</v>
      </c>
      <c r="K14" s="330">
        <v>1</v>
      </c>
      <c r="L14" s="22" t="s">
        <v>2</v>
      </c>
      <c r="M14" s="22" t="s">
        <v>1</v>
      </c>
      <c r="N14" s="441">
        <v>365</v>
      </c>
      <c r="O14" s="22" t="s">
        <v>178</v>
      </c>
      <c r="P14" s="22" t="s">
        <v>3</v>
      </c>
      <c r="Q14" s="526">
        <f t="shared" si="0"/>
        <v>0</v>
      </c>
      <c r="R14" s="405"/>
      <c r="S14" s="285"/>
      <c r="T14" s="285"/>
    </row>
    <row r="15" spans="1:20" ht="24" customHeight="1">
      <c r="A15" s="338"/>
      <c r="B15" s="50"/>
      <c r="C15" s="273"/>
      <c r="D15" s="274"/>
      <c r="E15" s="274"/>
      <c r="F15" s="274"/>
      <c r="G15" s="107" t="s">
        <v>122</v>
      </c>
      <c r="H15" s="29">
        <f>55780*0.2</f>
        <v>11156</v>
      </c>
      <c r="I15" s="22" t="s">
        <v>0</v>
      </c>
      <c r="J15" s="22" t="s">
        <v>1</v>
      </c>
      <c r="K15" s="36">
        <v>5</v>
      </c>
      <c r="L15" s="22" t="s">
        <v>2</v>
      </c>
      <c r="M15" s="22" t="s">
        <v>1</v>
      </c>
      <c r="N15" s="441">
        <v>365</v>
      </c>
      <c r="O15" s="268" t="s">
        <v>178</v>
      </c>
      <c r="P15" s="22" t="s">
        <v>3</v>
      </c>
      <c r="Q15" s="526">
        <f t="shared" si="0"/>
        <v>20359700</v>
      </c>
      <c r="R15" s="405"/>
      <c r="S15" s="285"/>
      <c r="T15" s="285"/>
    </row>
    <row r="16" spans="1:20" ht="24" customHeight="1">
      <c r="A16" s="338"/>
      <c r="B16" s="50"/>
      <c r="C16" s="273"/>
      <c r="D16" s="274"/>
      <c r="E16" s="274"/>
      <c r="F16" s="274"/>
      <c r="G16" s="107" t="s">
        <v>123</v>
      </c>
      <c r="H16" s="29">
        <f>H15/2</f>
        <v>5578</v>
      </c>
      <c r="I16" s="22" t="s">
        <v>0</v>
      </c>
      <c r="J16" s="22" t="s">
        <v>1</v>
      </c>
      <c r="K16" s="36">
        <v>0</v>
      </c>
      <c r="L16" s="22" t="s">
        <v>2</v>
      </c>
      <c r="M16" s="22" t="s">
        <v>1</v>
      </c>
      <c r="N16" s="441">
        <v>365</v>
      </c>
      <c r="O16" s="22" t="s">
        <v>178</v>
      </c>
      <c r="P16" s="22" t="s">
        <v>3</v>
      </c>
      <c r="Q16" s="526">
        <f t="shared" si="0"/>
        <v>0</v>
      </c>
      <c r="R16" s="405"/>
      <c r="S16" s="285"/>
      <c r="T16" s="285"/>
    </row>
    <row r="17" spans="1:20" ht="24" customHeight="1">
      <c r="A17" s="338"/>
      <c r="B17" s="50"/>
      <c r="C17" s="273"/>
      <c r="D17" s="274"/>
      <c r="E17" s="274"/>
      <c r="F17" s="274"/>
      <c r="G17" s="105" t="s">
        <v>134</v>
      </c>
      <c r="H17" s="53">
        <v>0</v>
      </c>
      <c r="I17" s="54" t="s">
        <v>0</v>
      </c>
      <c r="J17" s="54" t="s">
        <v>1</v>
      </c>
      <c r="K17" s="331">
        <v>2</v>
      </c>
      <c r="L17" s="54" t="s">
        <v>2</v>
      </c>
      <c r="M17" s="54" t="s">
        <v>1</v>
      </c>
      <c r="N17" s="441">
        <v>365</v>
      </c>
      <c r="O17" s="12" t="s">
        <v>178</v>
      </c>
      <c r="P17" s="54" t="s">
        <v>3</v>
      </c>
      <c r="Q17" s="511">
        <f t="shared" si="0"/>
        <v>0</v>
      </c>
      <c r="R17" s="405"/>
      <c r="S17" s="285"/>
      <c r="T17" s="285"/>
    </row>
    <row r="18" spans="1:20" ht="24" customHeight="1">
      <c r="A18" s="338"/>
      <c r="B18" s="50"/>
      <c r="C18" s="273"/>
      <c r="D18" s="274"/>
      <c r="E18" s="274"/>
      <c r="F18" s="274"/>
      <c r="G18" s="107" t="s">
        <v>248</v>
      </c>
      <c r="H18" s="29">
        <f>55780*0.2</f>
        <v>11156</v>
      </c>
      <c r="I18" s="22" t="s">
        <v>0</v>
      </c>
      <c r="J18" s="22" t="s">
        <v>1</v>
      </c>
      <c r="K18" s="36">
        <v>1</v>
      </c>
      <c r="L18" s="22" t="s">
        <v>2</v>
      </c>
      <c r="M18" s="22" t="s">
        <v>1</v>
      </c>
      <c r="N18" s="441">
        <v>365</v>
      </c>
      <c r="O18" s="22" t="s">
        <v>178</v>
      </c>
      <c r="P18" s="22" t="s">
        <v>3</v>
      </c>
      <c r="Q18" s="526">
        <f t="shared" si="0"/>
        <v>4071940</v>
      </c>
      <c r="R18" s="405"/>
      <c r="S18" s="285"/>
      <c r="T18" s="285"/>
    </row>
    <row r="19" spans="1:20" ht="24" customHeight="1">
      <c r="A19" s="338"/>
      <c r="B19" s="50"/>
      <c r="C19" s="273"/>
      <c r="D19" s="274"/>
      <c r="E19" s="274"/>
      <c r="F19" s="274"/>
      <c r="G19" s="107" t="s">
        <v>249</v>
      </c>
      <c r="H19" s="29">
        <f>H18/2</f>
        <v>5578</v>
      </c>
      <c r="I19" s="22" t="s">
        <v>0</v>
      </c>
      <c r="J19" s="22" t="s">
        <v>1</v>
      </c>
      <c r="K19" s="36">
        <v>1</v>
      </c>
      <c r="L19" s="22" t="s">
        <v>2</v>
      </c>
      <c r="M19" s="22" t="s">
        <v>1</v>
      </c>
      <c r="N19" s="441">
        <v>365</v>
      </c>
      <c r="O19" s="22" t="s">
        <v>178</v>
      </c>
      <c r="P19" s="22" t="s">
        <v>3</v>
      </c>
      <c r="Q19" s="526">
        <f t="shared" si="0"/>
        <v>2035970</v>
      </c>
      <c r="R19" s="405"/>
      <c r="S19" s="285"/>
      <c r="T19" s="285"/>
    </row>
    <row r="20" spans="1:20" ht="24" customHeight="1">
      <c r="A20" s="338"/>
      <c r="B20" s="50"/>
      <c r="C20" s="273"/>
      <c r="D20" s="274"/>
      <c r="E20" s="274"/>
      <c r="F20" s="274"/>
      <c r="G20" s="105" t="s">
        <v>250</v>
      </c>
      <c r="H20" s="53">
        <v>0</v>
      </c>
      <c r="I20" s="54" t="s">
        <v>0</v>
      </c>
      <c r="J20" s="54" t="s">
        <v>1</v>
      </c>
      <c r="K20" s="331">
        <v>1</v>
      </c>
      <c r="L20" s="54" t="s">
        <v>2</v>
      </c>
      <c r="M20" s="54" t="s">
        <v>1</v>
      </c>
      <c r="N20" s="441">
        <v>365</v>
      </c>
      <c r="O20" s="268" t="s">
        <v>178</v>
      </c>
      <c r="P20" s="54" t="s">
        <v>3</v>
      </c>
      <c r="Q20" s="511">
        <f t="shared" si="0"/>
        <v>0</v>
      </c>
      <c r="R20" s="405"/>
      <c r="S20" s="285"/>
      <c r="T20" s="285"/>
    </row>
    <row r="21" spans="1:20" ht="24" customHeight="1">
      <c r="A21" s="338"/>
      <c r="B21" s="50"/>
      <c r="C21" s="273"/>
      <c r="D21" s="274"/>
      <c r="E21" s="274"/>
      <c r="F21" s="274"/>
      <c r="G21" s="107" t="s">
        <v>269</v>
      </c>
      <c r="H21" s="29">
        <f>55780*0.2</f>
        <v>11156</v>
      </c>
      <c r="I21" s="22" t="s">
        <v>0</v>
      </c>
      <c r="J21" s="22" t="s">
        <v>1</v>
      </c>
      <c r="K21" s="36">
        <v>1</v>
      </c>
      <c r="L21" s="22" t="s">
        <v>2</v>
      </c>
      <c r="M21" s="22" t="s">
        <v>1</v>
      </c>
      <c r="N21" s="441">
        <v>365</v>
      </c>
      <c r="O21" s="268" t="s">
        <v>178</v>
      </c>
      <c r="P21" s="22" t="s">
        <v>3</v>
      </c>
      <c r="Q21" s="526">
        <f t="shared" si="0"/>
        <v>4071940</v>
      </c>
      <c r="R21" s="405"/>
      <c r="S21" s="285"/>
      <c r="T21" s="285"/>
    </row>
    <row r="22" spans="1:20" ht="24" customHeight="1">
      <c r="A22" s="338"/>
      <c r="B22" s="50"/>
      <c r="C22" s="273"/>
      <c r="D22" s="274"/>
      <c r="E22" s="274"/>
      <c r="F22" s="274"/>
      <c r="G22" s="107" t="s">
        <v>270</v>
      </c>
      <c r="H22" s="29">
        <f>H21/2</f>
        <v>5578</v>
      </c>
      <c r="I22" s="22" t="s">
        <v>0</v>
      </c>
      <c r="J22" s="22" t="s">
        <v>1</v>
      </c>
      <c r="K22" s="36">
        <v>0</v>
      </c>
      <c r="L22" s="22" t="s">
        <v>2</v>
      </c>
      <c r="M22" s="22" t="s">
        <v>1</v>
      </c>
      <c r="N22" s="441">
        <v>365</v>
      </c>
      <c r="O22" s="22" t="s">
        <v>178</v>
      </c>
      <c r="P22" s="22" t="s">
        <v>3</v>
      </c>
      <c r="Q22" s="526">
        <f t="shared" si="0"/>
        <v>0</v>
      </c>
      <c r="R22" s="405"/>
      <c r="S22" s="285"/>
      <c r="T22" s="285"/>
    </row>
    <row r="23" spans="1:20" ht="24" customHeight="1">
      <c r="A23" s="338"/>
      <c r="B23" s="50"/>
      <c r="C23" s="273"/>
      <c r="D23" s="274"/>
      <c r="E23" s="274"/>
      <c r="F23" s="274"/>
      <c r="G23" s="105" t="s">
        <v>271</v>
      </c>
      <c r="H23" s="53">
        <v>0</v>
      </c>
      <c r="I23" s="54" t="s">
        <v>0</v>
      </c>
      <c r="J23" s="54" t="s">
        <v>1</v>
      </c>
      <c r="K23" s="331">
        <v>0</v>
      </c>
      <c r="L23" s="54" t="s">
        <v>2</v>
      </c>
      <c r="M23" s="54" t="s">
        <v>1</v>
      </c>
      <c r="N23" s="441">
        <v>365</v>
      </c>
      <c r="O23" s="12" t="s">
        <v>178</v>
      </c>
      <c r="P23" s="54" t="s">
        <v>3</v>
      </c>
      <c r="Q23" s="511">
        <f t="shared" si="0"/>
        <v>0</v>
      </c>
      <c r="R23" s="405"/>
      <c r="S23" s="285"/>
      <c r="T23" s="285"/>
    </row>
    <row r="24" spans="1:20" ht="24" customHeight="1">
      <c r="A24" s="338"/>
      <c r="B24" s="50"/>
      <c r="C24" s="273"/>
      <c r="D24" s="274"/>
      <c r="E24" s="274"/>
      <c r="F24" s="274"/>
      <c r="G24" s="269" t="s">
        <v>283</v>
      </c>
      <c r="H24" s="270">
        <v>0</v>
      </c>
      <c r="I24" s="1090" t="s">
        <v>137</v>
      </c>
      <c r="J24" s="1090"/>
      <c r="K24" s="63">
        <v>0</v>
      </c>
      <c r="L24" s="19" t="s">
        <v>2</v>
      </c>
      <c r="M24" s="19" t="s">
        <v>1</v>
      </c>
      <c r="N24" s="441">
        <v>12</v>
      </c>
      <c r="O24" s="19" t="s">
        <v>179</v>
      </c>
      <c r="P24" s="19" t="s">
        <v>3</v>
      </c>
      <c r="Q24" s="527">
        <f t="shared" si="0"/>
        <v>0</v>
      </c>
      <c r="R24" s="405"/>
      <c r="S24" s="285"/>
      <c r="T24" s="285"/>
    </row>
    <row r="25" spans="1:20" ht="24" customHeight="1">
      <c r="A25" s="338"/>
      <c r="B25" s="50"/>
      <c r="C25" s="1091" t="s">
        <v>180</v>
      </c>
      <c r="D25" s="1259">
        <f>세입예산서!E34</f>
        <v>7488000</v>
      </c>
      <c r="E25" s="1271">
        <f>Q25</f>
        <v>40332500</v>
      </c>
      <c r="F25" s="1259">
        <f>E25-D25</f>
        <v>32844500</v>
      </c>
      <c r="G25" s="110" t="s">
        <v>135</v>
      </c>
      <c r="H25" s="138"/>
      <c r="I25" s="16"/>
      <c r="J25" s="16"/>
      <c r="K25" s="139"/>
      <c r="L25" s="16"/>
      <c r="M25" s="16"/>
      <c r="N25" s="445"/>
      <c r="O25" s="16"/>
      <c r="P25" s="16" t="s">
        <v>3</v>
      </c>
      <c r="Q25" s="525">
        <f>Q27+Q26</f>
        <v>40332500</v>
      </c>
      <c r="R25" s="405"/>
      <c r="S25" s="285"/>
      <c r="T25" s="285"/>
    </row>
    <row r="26" spans="1:20" ht="24" customHeight="1">
      <c r="A26" s="338"/>
      <c r="B26" s="50"/>
      <c r="C26" s="1092"/>
      <c r="D26" s="1264"/>
      <c r="E26" s="1271"/>
      <c r="F26" s="1264"/>
      <c r="G26" s="140" t="s">
        <v>136</v>
      </c>
      <c r="H26" s="478">
        <v>7500</v>
      </c>
      <c r="I26" s="54" t="s">
        <v>0</v>
      </c>
      <c r="J26" s="54" t="s">
        <v>1</v>
      </c>
      <c r="K26" s="61">
        <v>13</v>
      </c>
      <c r="L26" s="54" t="s">
        <v>2</v>
      </c>
      <c r="M26" s="54" t="s">
        <v>1</v>
      </c>
      <c r="N26" s="441">
        <v>365</v>
      </c>
      <c r="O26" s="54" t="s">
        <v>179</v>
      </c>
      <c r="P26" s="54" t="s">
        <v>3</v>
      </c>
      <c r="Q26" s="511">
        <f>(H26*K26)*N26</f>
        <v>35587500</v>
      </c>
      <c r="R26" s="405"/>
      <c r="S26" s="285"/>
      <c r="T26" s="285"/>
    </row>
    <row r="27" spans="1:20" ht="24" customHeight="1">
      <c r="A27" s="338"/>
      <c r="B27" s="50"/>
      <c r="C27" s="1093"/>
      <c r="D27" s="1260"/>
      <c r="E27" s="1271"/>
      <c r="F27" s="1260"/>
      <c r="G27" s="140" t="s">
        <v>183</v>
      </c>
      <c r="H27" s="53">
        <v>1000</v>
      </c>
      <c r="I27" s="54" t="s">
        <v>0</v>
      </c>
      <c r="J27" s="54" t="s">
        <v>1</v>
      </c>
      <c r="K27" s="61">
        <v>13</v>
      </c>
      <c r="L27" s="54" t="s">
        <v>2</v>
      </c>
      <c r="M27" s="54" t="s">
        <v>1</v>
      </c>
      <c r="N27" s="441">
        <v>365</v>
      </c>
      <c r="O27" s="54" t="s">
        <v>179</v>
      </c>
      <c r="P27" s="54" t="s">
        <v>3</v>
      </c>
      <c r="Q27" s="511">
        <f>(H27*K27)*N27</f>
        <v>4745000</v>
      </c>
      <c r="R27" s="405"/>
      <c r="S27" s="285"/>
      <c r="T27" s="285"/>
    </row>
    <row r="28" spans="1:20" ht="24" customHeight="1">
      <c r="A28" s="338"/>
      <c r="B28" s="1097" t="s">
        <v>121</v>
      </c>
      <c r="C28" s="1097"/>
      <c r="D28" s="120">
        <f>세입예산서!E37</f>
        <v>0</v>
      </c>
      <c r="E28" s="120">
        <f>E29+E31</f>
        <v>0</v>
      </c>
      <c r="F28" s="119">
        <f>E28-D28</f>
        <v>0</v>
      </c>
      <c r="G28" s="104"/>
      <c r="H28" s="62"/>
      <c r="I28" s="19"/>
      <c r="J28" s="19"/>
      <c r="K28" s="63"/>
      <c r="L28" s="19"/>
      <c r="M28" s="19"/>
      <c r="N28" s="444"/>
      <c r="O28" s="19"/>
      <c r="P28" s="19"/>
      <c r="Q28" s="528">
        <f>Q29+Q31</f>
        <v>0</v>
      </c>
      <c r="R28" s="405"/>
      <c r="S28" s="287">
        <f>Q28</f>
        <v>0</v>
      </c>
      <c r="T28" s="285"/>
    </row>
    <row r="29" spans="1:20" ht="24" customHeight="1">
      <c r="A29" s="338"/>
      <c r="B29" s="50"/>
      <c r="C29" s="1091" t="s">
        <v>181</v>
      </c>
      <c r="D29" s="1259">
        <f>세입예산서!E38</f>
        <v>0</v>
      </c>
      <c r="E29" s="1271">
        <f>Q29</f>
        <v>0</v>
      </c>
      <c r="F29" s="1259">
        <f>E29-D29</f>
        <v>0</v>
      </c>
      <c r="G29" s="320" t="s">
        <v>38</v>
      </c>
      <c r="H29" s="142"/>
      <c r="I29" s="20"/>
      <c r="J29" s="20"/>
      <c r="K29" s="86"/>
      <c r="L29" s="20"/>
      <c r="M29" s="20"/>
      <c r="N29" s="440"/>
      <c r="O29" s="20"/>
      <c r="P29" s="20" t="s">
        <v>3</v>
      </c>
      <c r="Q29" s="529">
        <f>Q30</f>
        <v>0</v>
      </c>
      <c r="R29" s="405"/>
      <c r="S29" s="285"/>
      <c r="T29" s="285"/>
    </row>
    <row r="30" spans="1:20" ht="24" customHeight="1">
      <c r="A30" s="338"/>
      <c r="B30" s="50"/>
      <c r="C30" s="1093"/>
      <c r="D30" s="1260"/>
      <c r="E30" s="1271"/>
      <c r="F30" s="1260"/>
      <c r="G30" s="321" t="s">
        <v>60</v>
      </c>
      <c r="H30" s="66">
        <v>0</v>
      </c>
      <c r="I30" s="12" t="s">
        <v>0</v>
      </c>
      <c r="J30" s="12" t="s">
        <v>1</v>
      </c>
      <c r="K30" s="52">
        <v>0</v>
      </c>
      <c r="L30" s="12" t="s">
        <v>2</v>
      </c>
      <c r="M30" s="12" t="s">
        <v>4</v>
      </c>
      <c r="N30" s="443">
        <v>1</v>
      </c>
      <c r="O30" s="12" t="s">
        <v>16</v>
      </c>
      <c r="P30" s="12" t="s">
        <v>3</v>
      </c>
      <c r="Q30" s="510">
        <f>(H30*K30)*N30</f>
        <v>0</v>
      </c>
      <c r="R30" s="405"/>
      <c r="S30" s="285"/>
      <c r="T30" s="285"/>
    </row>
    <row r="31" spans="1:20" ht="24" customHeight="1">
      <c r="A31" s="338"/>
      <c r="B31" s="50"/>
      <c r="C31" s="1091" t="s">
        <v>182</v>
      </c>
      <c r="D31" s="1259">
        <f>세입예산서!E40</f>
        <v>0</v>
      </c>
      <c r="E31" s="1271">
        <f>Q31</f>
        <v>0</v>
      </c>
      <c r="F31" s="1259">
        <f>E31-D31</f>
        <v>0</v>
      </c>
      <c r="G31" s="322" t="s">
        <v>39</v>
      </c>
      <c r="H31" s="138"/>
      <c r="I31" s="16"/>
      <c r="J31" s="16"/>
      <c r="K31" s="139"/>
      <c r="L31" s="16"/>
      <c r="M31" s="16"/>
      <c r="N31" s="445"/>
      <c r="O31" s="16"/>
      <c r="P31" s="16" t="s">
        <v>3</v>
      </c>
      <c r="Q31" s="530">
        <f>Q32</f>
        <v>0</v>
      </c>
      <c r="R31" s="405"/>
      <c r="S31" s="285"/>
      <c r="T31" s="285"/>
    </row>
    <row r="32" spans="1:20" ht="24" customHeight="1" thickBot="1">
      <c r="A32" s="561"/>
      <c r="B32" s="83"/>
      <c r="C32" s="1148"/>
      <c r="D32" s="1266"/>
      <c r="E32" s="1274"/>
      <c r="F32" s="1266"/>
      <c r="G32" s="577" t="s">
        <v>228</v>
      </c>
      <c r="H32" s="578">
        <v>0</v>
      </c>
      <c r="I32" s="372" t="s">
        <v>0</v>
      </c>
      <c r="J32" s="372" t="s">
        <v>1</v>
      </c>
      <c r="K32" s="373">
        <v>0</v>
      </c>
      <c r="L32" s="372" t="s">
        <v>2</v>
      </c>
      <c r="M32" s="372" t="s">
        <v>1</v>
      </c>
      <c r="N32" s="579">
        <v>12</v>
      </c>
      <c r="O32" s="372" t="s">
        <v>16</v>
      </c>
      <c r="P32" s="372" t="s">
        <v>3</v>
      </c>
      <c r="Q32" s="519">
        <f>(H32*K32)*N32</f>
        <v>0</v>
      </c>
      <c r="R32" s="405"/>
      <c r="S32" s="285"/>
      <c r="T32" s="285"/>
    </row>
    <row r="33" spans="1:20" ht="24" customHeight="1">
      <c r="A33" s="1149" t="s">
        <v>42</v>
      </c>
      <c r="B33" s="1150"/>
      <c r="C33" s="1150"/>
      <c r="D33" s="596">
        <f>세입예산서!E42</f>
        <v>0</v>
      </c>
      <c r="E33" s="72">
        <f>E34</f>
        <v>0</v>
      </c>
      <c r="F33" s="541">
        <f>E33-D33</f>
        <v>0</v>
      </c>
      <c r="G33" s="74"/>
      <c r="H33" s="65"/>
      <c r="I33" s="65"/>
      <c r="J33" s="65"/>
      <c r="K33" s="65"/>
      <c r="L33" s="65"/>
      <c r="M33" s="65"/>
      <c r="N33" s="456"/>
      <c r="O33" s="65"/>
      <c r="P33" s="65"/>
      <c r="Q33" s="567">
        <f>Q34</f>
        <v>0</v>
      </c>
      <c r="R33" s="405"/>
      <c r="S33" s="285"/>
      <c r="T33" s="285"/>
    </row>
    <row r="34" spans="1:20" ht="24" customHeight="1">
      <c r="A34" s="338"/>
      <c r="B34" s="1097" t="s">
        <v>40</v>
      </c>
      <c r="C34" s="1097"/>
      <c r="D34" s="120">
        <f>세입예산서!E43</f>
        <v>0</v>
      </c>
      <c r="E34" s="44">
        <f>E35</f>
        <v>0</v>
      </c>
      <c r="F34" s="119">
        <f>E34-D34</f>
        <v>0</v>
      </c>
      <c r="G34" s="124"/>
      <c r="H34" s="18"/>
      <c r="I34" s="18"/>
      <c r="J34" s="18"/>
      <c r="K34" s="18"/>
      <c r="L34" s="18"/>
      <c r="M34" s="18"/>
      <c r="N34" s="446"/>
      <c r="O34" s="18"/>
      <c r="P34" s="18"/>
      <c r="Q34" s="531">
        <f>Q35</f>
        <v>0</v>
      </c>
      <c r="R34" s="405"/>
      <c r="S34" s="285"/>
      <c r="T34" s="285"/>
    </row>
    <row r="35" spans="1:20" ht="24" customHeight="1">
      <c r="A35" s="350"/>
      <c r="B35" s="57"/>
      <c r="C35" s="1166" t="s">
        <v>41</v>
      </c>
      <c r="D35" s="1269">
        <f>세입예산서!E44</f>
        <v>0</v>
      </c>
      <c r="E35" s="1271">
        <f>Q35</f>
        <v>0</v>
      </c>
      <c r="F35" s="1259">
        <f>E35-D35</f>
        <v>0</v>
      </c>
      <c r="G35" s="141" t="s">
        <v>57</v>
      </c>
      <c r="H35" s="143"/>
      <c r="I35" s="71"/>
      <c r="J35" s="71"/>
      <c r="K35" s="144"/>
      <c r="L35" s="71"/>
      <c r="M35" s="71"/>
      <c r="N35" s="447"/>
      <c r="O35" s="20"/>
      <c r="P35" s="20" t="s">
        <v>3</v>
      </c>
      <c r="Q35" s="509">
        <f>Q36</f>
        <v>0</v>
      </c>
      <c r="R35" s="405"/>
      <c r="S35" s="285"/>
      <c r="T35" s="285"/>
    </row>
    <row r="36" spans="1:20" ht="24" customHeight="1" thickBot="1">
      <c r="A36" s="350"/>
      <c r="B36" s="563"/>
      <c r="C36" s="1106"/>
      <c r="D36" s="1272"/>
      <c r="E36" s="1259"/>
      <c r="F36" s="1264"/>
      <c r="G36" s="321" t="s">
        <v>259</v>
      </c>
      <c r="H36" s="66">
        <v>0</v>
      </c>
      <c r="I36" s="12" t="s">
        <v>0</v>
      </c>
      <c r="J36" s="12" t="s">
        <v>1</v>
      </c>
      <c r="K36" s="52">
        <v>0</v>
      </c>
      <c r="L36" s="12" t="s">
        <v>2</v>
      </c>
      <c r="M36" s="12" t="s">
        <v>1</v>
      </c>
      <c r="N36" s="443">
        <v>1</v>
      </c>
      <c r="O36" s="12" t="s">
        <v>16</v>
      </c>
      <c r="P36" s="12" t="s">
        <v>3</v>
      </c>
      <c r="Q36" s="510">
        <f>(H36*K36)*N36</f>
        <v>0</v>
      </c>
      <c r="R36" s="405"/>
      <c r="S36" s="285"/>
      <c r="T36" s="285"/>
    </row>
    <row r="37" spans="1:20" ht="24" customHeight="1">
      <c r="A37" s="1099" t="s">
        <v>46</v>
      </c>
      <c r="B37" s="1100"/>
      <c r="C37" s="1101"/>
      <c r="D37" s="597">
        <f>세입예산서!E46</f>
        <v>0</v>
      </c>
      <c r="E37" s="335">
        <f>E38</f>
        <v>0</v>
      </c>
      <c r="F37" s="501">
        <f>E37-D37</f>
        <v>0</v>
      </c>
      <c r="G37" s="568"/>
      <c r="H37" s="569"/>
      <c r="I37" s="569"/>
      <c r="J37" s="569"/>
      <c r="K37" s="569"/>
      <c r="L37" s="569"/>
      <c r="M37" s="569"/>
      <c r="N37" s="570"/>
      <c r="O37" s="569"/>
      <c r="P37" s="569"/>
      <c r="Q37" s="571">
        <f>Q38</f>
        <v>0</v>
      </c>
      <c r="R37" s="405"/>
      <c r="S37" s="285"/>
      <c r="T37" s="285"/>
    </row>
    <row r="38" spans="1:20" ht="24" customHeight="1">
      <c r="A38" s="338"/>
      <c r="B38" s="1164" t="s">
        <v>44</v>
      </c>
      <c r="C38" s="1165"/>
      <c r="D38" s="120">
        <f>세입예산서!E47</f>
        <v>0</v>
      </c>
      <c r="E38" s="44">
        <f>E39</f>
        <v>0</v>
      </c>
      <c r="F38" s="119">
        <f>E38-D38</f>
        <v>0</v>
      </c>
      <c r="G38" s="114"/>
      <c r="H38" s="123"/>
      <c r="I38" s="123"/>
      <c r="J38" s="123"/>
      <c r="K38" s="123"/>
      <c r="L38" s="123"/>
      <c r="M38" s="123"/>
      <c r="N38" s="448"/>
      <c r="O38" s="123"/>
      <c r="P38" s="19"/>
      <c r="Q38" s="531">
        <f>Q39</f>
        <v>0</v>
      </c>
      <c r="R38" s="405"/>
      <c r="S38" s="285"/>
      <c r="T38" s="285"/>
    </row>
    <row r="39" spans="1:20" ht="24" customHeight="1">
      <c r="A39" s="350"/>
      <c r="B39" s="5"/>
      <c r="C39" s="1106" t="s">
        <v>45</v>
      </c>
      <c r="D39" s="1269">
        <f>세입예산서!E48</f>
        <v>0</v>
      </c>
      <c r="E39" s="1271">
        <f>Q39</f>
        <v>0</v>
      </c>
      <c r="F39" s="1259">
        <f>E39-D39</f>
        <v>0</v>
      </c>
      <c r="G39" s="110" t="s">
        <v>252</v>
      </c>
      <c r="H39" s="68"/>
      <c r="I39" s="16"/>
      <c r="J39" s="16"/>
      <c r="K39" s="35"/>
      <c r="L39" s="17"/>
      <c r="M39" s="17"/>
      <c r="N39" s="439"/>
      <c r="O39" s="16"/>
      <c r="P39" s="16" t="s">
        <v>3</v>
      </c>
      <c r="Q39" s="525">
        <f>Q40</f>
        <v>0</v>
      </c>
      <c r="R39" s="405"/>
      <c r="S39" s="285"/>
      <c r="T39" s="285"/>
    </row>
    <row r="40" spans="1:20" ht="24" customHeight="1" thickBot="1">
      <c r="A40" s="351"/>
      <c r="B40" s="572"/>
      <c r="C40" s="1107"/>
      <c r="D40" s="1273"/>
      <c r="E40" s="1274"/>
      <c r="F40" s="1266"/>
      <c r="G40" s="562" t="s">
        <v>253</v>
      </c>
      <c r="H40" s="573">
        <v>0</v>
      </c>
      <c r="I40" s="372" t="s">
        <v>89</v>
      </c>
      <c r="J40" s="372"/>
      <c r="K40" s="516"/>
      <c r="L40" s="517"/>
      <c r="M40" s="517"/>
      <c r="N40" s="518"/>
      <c r="O40" s="372"/>
      <c r="P40" s="372" t="s">
        <v>3</v>
      </c>
      <c r="Q40" s="519">
        <f>H40</f>
        <v>0</v>
      </c>
      <c r="R40" s="405"/>
      <c r="S40" s="285"/>
      <c r="T40" s="285"/>
    </row>
    <row r="41" spans="1:20" ht="24" customHeight="1">
      <c r="A41" s="1145" t="s">
        <v>61</v>
      </c>
      <c r="B41" s="1146"/>
      <c r="C41" s="1147"/>
      <c r="D41" s="596">
        <f>세입예산서!E50</f>
        <v>0</v>
      </c>
      <c r="E41" s="72">
        <f>E42</f>
        <v>10973760</v>
      </c>
      <c r="F41" s="541">
        <f>E41-D41</f>
        <v>10973760</v>
      </c>
      <c r="G41" s="564"/>
      <c r="H41" s="565"/>
      <c r="I41" s="565"/>
      <c r="J41" s="565"/>
      <c r="K41" s="565"/>
      <c r="L41" s="565"/>
      <c r="M41" s="565"/>
      <c r="N41" s="566"/>
      <c r="O41" s="565"/>
      <c r="P41" s="565"/>
      <c r="Q41" s="567">
        <f>Q42</f>
        <v>10973760</v>
      </c>
      <c r="R41" s="405"/>
      <c r="S41" s="285"/>
      <c r="T41" s="285"/>
    </row>
    <row r="42" spans="1:20" ht="24" customHeight="1">
      <c r="A42" s="337"/>
      <c r="B42" s="1071" t="s">
        <v>47</v>
      </c>
      <c r="C42" s="1072"/>
      <c r="D42" s="120">
        <f>세입예산서!E51</f>
        <v>0</v>
      </c>
      <c r="E42" s="44">
        <f>E43+E45+E50+E52</f>
        <v>10973760</v>
      </c>
      <c r="F42" s="119">
        <f>E42-D42</f>
        <v>10973760</v>
      </c>
      <c r="G42" s="129"/>
      <c r="H42" s="123"/>
      <c r="I42" s="123"/>
      <c r="J42" s="123"/>
      <c r="K42" s="123"/>
      <c r="L42" s="123"/>
      <c r="M42" s="123"/>
      <c r="N42" s="448"/>
      <c r="O42" s="123"/>
      <c r="P42" s="123"/>
      <c r="Q42" s="533">
        <f>Q43+Q45+Q50+Q52</f>
        <v>10973760</v>
      </c>
      <c r="R42" s="408">
        <f>Q42</f>
        <v>10973760</v>
      </c>
      <c r="S42" s="285"/>
      <c r="T42" s="285"/>
    </row>
    <row r="43" spans="1:20" ht="24" customHeight="1">
      <c r="A43" s="346"/>
      <c r="B43" s="5"/>
      <c r="C43" s="1091" t="s">
        <v>49</v>
      </c>
      <c r="D43" s="1259">
        <f>세입예산서!E52</f>
        <v>0</v>
      </c>
      <c r="E43" s="1271">
        <f>Q43</f>
        <v>0</v>
      </c>
      <c r="F43" s="1259">
        <f>E43-D43</f>
        <v>0</v>
      </c>
      <c r="G43" s="146" t="s">
        <v>50</v>
      </c>
      <c r="H43" s="69"/>
      <c r="I43" s="147"/>
      <c r="J43" s="147"/>
      <c r="K43" s="147"/>
      <c r="L43" s="147"/>
      <c r="M43" s="147"/>
      <c r="N43" s="450"/>
      <c r="O43" s="147"/>
      <c r="P43" s="147"/>
      <c r="Q43" s="509">
        <f>Q44</f>
        <v>0</v>
      </c>
      <c r="R43" s="405"/>
      <c r="S43" s="285"/>
      <c r="T43" s="285"/>
    </row>
    <row r="44" spans="1:20" ht="24" customHeight="1">
      <c r="A44" s="346"/>
      <c r="B44" s="67"/>
      <c r="C44" s="1093"/>
      <c r="D44" s="1260"/>
      <c r="E44" s="1271"/>
      <c r="F44" s="1260"/>
      <c r="G44" s="111" t="s">
        <v>59</v>
      </c>
      <c r="H44" s="145">
        <v>0</v>
      </c>
      <c r="I44" s="12" t="s">
        <v>0</v>
      </c>
      <c r="J44" s="12" t="s">
        <v>1</v>
      </c>
      <c r="K44" s="52">
        <v>0</v>
      </c>
      <c r="L44" s="12" t="s">
        <v>2</v>
      </c>
      <c r="M44" s="12" t="s">
        <v>1</v>
      </c>
      <c r="N44" s="443">
        <v>2</v>
      </c>
      <c r="O44" s="12" t="s">
        <v>12</v>
      </c>
      <c r="P44" s="12" t="s">
        <v>3</v>
      </c>
      <c r="Q44" s="510">
        <f>(H44*K44)*N44</f>
        <v>0</v>
      </c>
      <c r="R44" s="405"/>
      <c r="S44" s="285"/>
      <c r="T44" s="285"/>
    </row>
    <row r="45" spans="1:20" ht="24" customHeight="1">
      <c r="A45" s="346"/>
      <c r="B45" s="6"/>
      <c r="C45" s="1091" t="s">
        <v>48</v>
      </c>
      <c r="D45" s="1259">
        <f>세입예산서!E54</f>
        <v>0</v>
      </c>
      <c r="E45" s="1271">
        <f>Q45</f>
        <v>10973760</v>
      </c>
      <c r="F45" s="1259">
        <f>E45-D45</f>
        <v>10973760</v>
      </c>
      <c r="G45" s="1151" t="s">
        <v>52</v>
      </c>
      <c r="H45" s="1152"/>
      <c r="I45" s="16"/>
      <c r="J45" s="16"/>
      <c r="K45" s="35"/>
      <c r="L45" s="17"/>
      <c r="M45" s="17"/>
      <c r="N45" s="439"/>
      <c r="O45" s="16"/>
      <c r="P45" s="16"/>
      <c r="Q45" s="534">
        <f>SUM(Q46:Q49)</f>
        <v>10973760</v>
      </c>
      <c r="R45" s="405"/>
      <c r="S45" s="285"/>
      <c r="T45" s="285"/>
    </row>
    <row r="46" spans="1:20" ht="24" customHeight="1">
      <c r="A46" s="338"/>
      <c r="B46" s="8"/>
      <c r="C46" s="1092"/>
      <c r="D46" s="1264"/>
      <c r="E46" s="1271"/>
      <c r="F46" s="1264"/>
      <c r="G46" s="112" t="s">
        <v>126</v>
      </c>
      <c r="H46" s="462">
        <v>219870</v>
      </c>
      <c r="I46" s="20" t="s">
        <v>0</v>
      </c>
      <c r="J46" s="20" t="s">
        <v>1</v>
      </c>
      <c r="K46" s="51">
        <v>4</v>
      </c>
      <c r="L46" s="20" t="s">
        <v>2</v>
      </c>
      <c r="M46" s="20" t="s">
        <v>1</v>
      </c>
      <c r="N46" s="445">
        <v>12</v>
      </c>
      <c r="O46" s="16" t="s">
        <v>93</v>
      </c>
      <c r="P46" s="20" t="s">
        <v>3</v>
      </c>
      <c r="Q46" s="509">
        <f>(H46*K46)*N46</f>
        <v>10553760</v>
      </c>
      <c r="R46" s="405"/>
      <c r="S46" s="285"/>
      <c r="T46" s="285"/>
    </row>
    <row r="47" spans="1:20" ht="24" customHeight="1">
      <c r="A47" s="338"/>
      <c r="B47" s="8"/>
      <c r="C47" s="1092"/>
      <c r="D47" s="1264"/>
      <c r="E47" s="1271"/>
      <c r="F47" s="1264"/>
      <c r="G47" s="113" t="s">
        <v>127</v>
      </c>
      <c r="H47" s="29">
        <v>0</v>
      </c>
      <c r="I47" s="22" t="s">
        <v>0</v>
      </c>
      <c r="J47" s="22" t="s">
        <v>1</v>
      </c>
      <c r="K47" s="31">
        <v>0</v>
      </c>
      <c r="L47" s="22" t="s">
        <v>2</v>
      </c>
      <c r="M47" s="22" t="s">
        <v>1</v>
      </c>
      <c r="N47" s="442">
        <v>12</v>
      </c>
      <c r="O47" s="22" t="s">
        <v>93</v>
      </c>
      <c r="P47" s="22" t="s">
        <v>3</v>
      </c>
      <c r="Q47" s="526">
        <f>(H47*K47)*N47</f>
        <v>0</v>
      </c>
      <c r="R47" s="405"/>
      <c r="S47" s="285"/>
      <c r="T47" s="285"/>
    </row>
    <row r="48" spans="1:20" ht="24" customHeight="1">
      <c r="A48" s="338"/>
      <c r="B48" s="8"/>
      <c r="C48" s="1092"/>
      <c r="D48" s="1264"/>
      <c r="E48" s="1271"/>
      <c r="F48" s="1264"/>
      <c r="G48" s="107" t="s">
        <v>58</v>
      </c>
      <c r="H48" s="29">
        <v>0</v>
      </c>
      <c r="I48" s="22" t="s">
        <v>0</v>
      </c>
      <c r="J48" s="22" t="s">
        <v>1</v>
      </c>
      <c r="K48" s="31">
        <v>0</v>
      </c>
      <c r="L48" s="22" t="s">
        <v>2</v>
      </c>
      <c r="M48" s="22" t="s">
        <v>1</v>
      </c>
      <c r="N48" s="442">
        <v>1</v>
      </c>
      <c r="O48" s="22" t="s">
        <v>20</v>
      </c>
      <c r="P48" s="22" t="s">
        <v>3</v>
      </c>
      <c r="Q48" s="526">
        <f>(H48*K48)*N48</f>
        <v>0</v>
      </c>
      <c r="R48" s="405"/>
      <c r="S48" s="285"/>
      <c r="T48" s="285"/>
    </row>
    <row r="49" spans="1:20" ht="24" customHeight="1">
      <c r="A49" s="338"/>
      <c r="B49" s="8"/>
      <c r="C49" s="1093"/>
      <c r="D49" s="1260"/>
      <c r="E49" s="1271"/>
      <c r="F49" s="1260"/>
      <c r="G49" s="105" t="s">
        <v>128</v>
      </c>
      <c r="H49" s="29">
        <v>35000</v>
      </c>
      <c r="I49" s="54" t="s">
        <v>0</v>
      </c>
      <c r="J49" s="54" t="s">
        <v>1</v>
      </c>
      <c r="K49" s="55">
        <v>4</v>
      </c>
      <c r="L49" s="54" t="s">
        <v>2</v>
      </c>
      <c r="M49" s="54" t="s">
        <v>1</v>
      </c>
      <c r="N49" s="441">
        <v>3</v>
      </c>
      <c r="O49" s="54" t="s">
        <v>20</v>
      </c>
      <c r="P49" s="54" t="s">
        <v>3</v>
      </c>
      <c r="Q49" s="511">
        <f>(H49*K49)*N49</f>
        <v>420000</v>
      </c>
      <c r="R49" s="405"/>
      <c r="S49" s="285"/>
      <c r="T49" s="285"/>
    </row>
    <row r="50" spans="1:20" ht="24" customHeight="1">
      <c r="A50" s="338"/>
      <c r="B50" s="8"/>
      <c r="C50" s="1091" t="s">
        <v>53</v>
      </c>
      <c r="D50" s="1259">
        <f>세입예산서!E59</f>
        <v>0</v>
      </c>
      <c r="E50" s="1271">
        <f>Q50</f>
        <v>0</v>
      </c>
      <c r="F50" s="1259">
        <f>E50-D50</f>
        <v>0</v>
      </c>
      <c r="G50" s="115" t="s">
        <v>55</v>
      </c>
      <c r="H50" s="68"/>
      <c r="I50" s="93"/>
      <c r="J50" s="93"/>
      <c r="K50" s="93"/>
      <c r="L50" s="93"/>
      <c r="M50" s="93"/>
      <c r="N50" s="451"/>
      <c r="O50" s="93"/>
      <c r="P50" s="93"/>
      <c r="Q50" s="525">
        <f>Q51</f>
        <v>0</v>
      </c>
      <c r="R50" s="405"/>
      <c r="S50" s="285"/>
      <c r="T50" s="285"/>
    </row>
    <row r="51" spans="1:20" ht="24" customHeight="1">
      <c r="A51" s="338"/>
      <c r="B51" s="8"/>
      <c r="C51" s="1093"/>
      <c r="D51" s="1260"/>
      <c r="E51" s="1271"/>
      <c r="F51" s="1260"/>
      <c r="G51" s="461" t="s">
        <v>284</v>
      </c>
      <c r="H51" s="40">
        <v>0</v>
      </c>
      <c r="I51" s="23" t="s">
        <v>0</v>
      </c>
      <c r="J51" s="149"/>
      <c r="K51" s="149"/>
      <c r="L51" s="149"/>
      <c r="M51" s="149"/>
      <c r="N51" s="452"/>
      <c r="O51" s="149"/>
      <c r="P51" s="149" t="s">
        <v>51</v>
      </c>
      <c r="Q51" s="532">
        <f>H51</f>
        <v>0</v>
      </c>
      <c r="R51" s="405"/>
      <c r="S51" s="285"/>
      <c r="T51" s="285"/>
    </row>
    <row r="52" spans="1:20" ht="24" customHeight="1">
      <c r="A52" s="350"/>
      <c r="B52" s="7"/>
      <c r="C52" s="1091" t="s">
        <v>54</v>
      </c>
      <c r="D52" s="1259">
        <f>세입예산서!E61</f>
        <v>0</v>
      </c>
      <c r="E52" s="1271">
        <f>Q52</f>
        <v>0</v>
      </c>
      <c r="F52" s="1259">
        <f>E52-D52</f>
        <v>0</v>
      </c>
      <c r="G52" s="146" t="s">
        <v>56</v>
      </c>
      <c r="H52" s="150"/>
      <c r="I52" s="147"/>
      <c r="J52" s="147"/>
      <c r="K52" s="147"/>
      <c r="L52" s="147"/>
      <c r="M52" s="147"/>
      <c r="N52" s="450"/>
      <c r="O52" s="147"/>
      <c r="P52" s="147"/>
      <c r="Q52" s="535">
        <f>Q54+Q53</f>
        <v>0</v>
      </c>
      <c r="R52" s="405"/>
      <c r="S52" s="285"/>
      <c r="T52" s="285"/>
    </row>
    <row r="53" spans="1:20" ht="24" customHeight="1">
      <c r="A53" s="350"/>
      <c r="B53" s="7"/>
      <c r="C53" s="1092"/>
      <c r="D53" s="1264"/>
      <c r="E53" s="1271"/>
      <c r="F53" s="1264"/>
      <c r="G53" s="111" t="s">
        <v>261</v>
      </c>
      <c r="H53" s="148">
        <v>0</v>
      </c>
      <c r="I53" s="54" t="s">
        <v>0</v>
      </c>
      <c r="J53" s="54" t="s">
        <v>1</v>
      </c>
      <c r="K53" s="55">
        <v>1</v>
      </c>
      <c r="L53" s="54" t="s">
        <v>2</v>
      </c>
      <c r="M53" s="54" t="s">
        <v>1</v>
      </c>
      <c r="N53" s="441">
        <v>12</v>
      </c>
      <c r="O53" s="54" t="s">
        <v>20</v>
      </c>
      <c r="P53" s="54" t="s">
        <v>3</v>
      </c>
      <c r="Q53" s="511">
        <f>(H53*K53)*N53</f>
        <v>0</v>
      </c>
      <c r="R53" s="405"/>
      <c r="S53" s="285"/>
      <c r="T53" s="285"/>
    </row>
    <row r="54" spans="1:20" ht="24" customHeight="1" thickBot="1">
      <c r="A54" s="350"/>
      <c r="B54" s="7"/>
      <c r="C54" s="1092"/>
      <c r="D54" s="1264"/>
      <c r="E54" s="1259"/>
      <c r="F54" s="1264"/>
      <c r="G54" s="558" t="s">
        <v>260</v>
      </c>
      <c r="H54" s="66">
        <v>0</v>
      </c>
      <c r="I54" s="54" t="s">
        <v>0</v>
      </c>
      <c r="J54" s="54" t="s">
        <v>1</v>
      </c>
      <c r="K54" s="55">
        <v>1</v>
      </c>
      <c r="L54" s="54" t="s">
        <v>2</v>
      </c>
      <c r="M54" s="54" t="s">
        <v>1</v>
      </c>
      <c r="N54" s="441">
        <v>12</v>
      </c>
      <c r="O54" s="54" t="s">
        <v>20</v>
      </c>
      <c r="P54" s="54" t="s">
        <v>3</v>
      </c>
      <c r="Q54" s="511">
        <f>(H54*K54)*N54</f>
        <v>0</v>
      </c>
      <c r="R54" s="405"/>
      <c r="S54" s="285"/>
      <c r="T54" s="285"/>
    </row>
    <row r="55" spans="1:20" ht="24" customHeight="1">
      <c r="A55" s="1127" t="s">
        <v>307</v>
      </c>
      <c r="B55" s="1128"/>
      <c r="C55" s="1128"/>
      <c r="D55" s="597">
        <f>세입예산서!E64</f>
        <v>0</v>
      </c>
      <c r="E55" s="335">
        <f>E56</f>
        <v>0</v>
      </c>
      <c r="F55" s="501">
        <f>E55-D55</f>
        <v>0</v>
      </c>
      <c r="G55" s="502"/>
      <c r="H55" s="503"/>
      <c r="I55" s="503"/>
      <c r="J55" s="503"/>
      <c r="K55" s="503"/>
      <c r="L55" s="503"/>
      <c r="M55" s="503"/>
      <c r="N55" s="504"/>
      <c r="O55" s="503"/>
      <c r="P55" s="503"/>
      <c r="Q55" s="560">
        <f>Q56</f>
        <v>0</v>
      </c>
      <c r="R55" s="405"/>
      <c r="S55" s="285"/>
      <c r="T55" s="287">
        <f>Q55</f>
        <v>0</v>
      </c>
    </row>
    <row r="56" spans="1:20" ht="24" customHeight="1">
      <c r="A56" s="337"/>
      <c r="B56" s="1071" t="s">
        <v>308</v>
      </c>
      <c r="C56" s="1072"/>
      <c r="D56" s="120">
        <f>세입예산서!E65</f>
        <v>0</v>
      </c>
      <c r="E56" s="44">
        <f>E57</f>
        <v>0</v>
      </c>
      <c r="F56" s="119">
        <f>E56-D56</f>
        <v>0</v>
      </c>
      <c r="G56" s="130"/>
      <c r="H56" s="131"/>
      <c r="I56" s="131"/>
      <c r="J56" s="131"/>
      <c r="K56" s="131"/>
      <c r="L56" s="131"/>
      <c r="M56" s="131"/>
      <c r="N56" s="453"/>
      <c r="O56" s="131"/>
      <c r="P56" s="131"/>
      <c r="Q56" s="507">
        <f>Q57</f>
        <v>0</v>
      </c>
      <c r="R56" s="405"/>
      <c r="S56" s="285"/>
      <c r="T56" s="285"/>
    </row>
    <row r="57" spans="1:20" ht="24" customHeight="1">
      <c r="A57" s="338"/>
      <c r="B57" s="10"/>
      <c r="C57" s="1106" t="s">
        <v>309</v>
      </c>
      <c r="D57" s="1269">
        <f>세입예산서!E66</f>
        <v>0</v>
      </c>
      <c r="E57" s="1271">
        <f>Q57</f>
        <v>0</v>
      </c>
      <c r="F57" s="1259">
        <f>E57-D57</f>
        <v>0</v>
      </c>
      <c r="G57" s="106" t="s">
        <v>63</v>
      </c>
      <c r="H57" s="70"/>
      <c r="I57" s="71"/>
      <c r="J57" s="20"/>
      <c r="K57" s="32"/>
      <c r="L57" s="21"/>
      <c r="M57" s="21"/>
      <c r="N57" s="454"/>
      <c r="O57" s="20"/>
      <c r="P57" s="20" t="s">
        <v>3</v>
      </c>
      <c r="Q57" s="509">
        <f>Q58</f>
        <v>0</v>
      </c>
      <c r="R57" s="405"/>
      <c r="S57" s="285"/>
      <c r="T57" s="285"/>
    </row>
    <row r="58" spans="1:20" ht="24" customHeight="1" thickBot="1">
      <c r="A58" s="561"/>
      <c r="B58" s="204"/>
      <c r="C58" s="1107"/>
      <c r="D58" s="1273"/>
      <c r="E58" s="1274"/>
      <c r="F58" s="1266"/>
      <c r="G58" s="562" t="s">
        <v>64</v>
      </c>
      <c r="H58" s="515">
        <v>0</v>
      </c>
      <c r="I58" s="372" t="s">
        <v>0</v>
      </c>
      <c r="J58" s="372"/>
      <c r="K58" s="516"/>
      <c r="L58" s="517"/>
      <c r="M58" s="517"/>
      <c r="N58" s="518"/>
      <c r="O58" s="372"/>
      <c r="P58" s="372" t="s">
        <v>3</v>
      </c>
      <c r="Q58" s="519">
        <f>H58</f>
        <v>0</v>
      </c>
      <c r="R58" s="405"/>
      <c r="S58" s="285"/>
      <c r="T58" s="285"/>
    </row>
    <row r="59" spans="1:20" ht="24" customHeight="1">
      <c r="A59" s="1145" t="s">
        <v>310</v>
      </c>
      <c r="B59" s="1154"/>
      <c r="C59" s="1155"/>
      <c r="D59" s="596">
        <f>세입예산서!E68</f>
        <v>64752798</v>
      </c>
      <c r="E59" s="72">
        <f>E60</f>
        <v>292108040</v>
      </c>
      <c r="F59" s="559">
        <f>E59-D59</f>
        <v>227355242</v>
      </c>
      <c r="G59" s="558"/>
      <c r="H59" s="65"/>
      <c r="I59" s="12"/>
      <c r="J59" s="12"/>
      <c r="K59" s="64"/>
      <c r="L59" s="65"/>
      <c r="M59" s="65"/>
      <c r="N59" s="1275">
        <f>N60</f>
        <v>303792361.60000002</v>
      </c>
      <c r="O59" s="1275"/>
      <c r="P59" s="1275"/>
      <c r="Q59" s="1276"/>
      <c r="R59" s="408">
        <f>N59</f>
        <v>303792361.60000002</v>
      </c>
      <c r="S59" s="285"/>
      <c r="T59" s="285"/>
    </row>
    <row r="60" spans="1:20" ht="24" customHeight="1">
      <c r="A60" s="1069"/>
      <c r="B60" s="1071" t="s">
        <v>311</v>
      </c>
      <c r="C60" s="1072"/>
      <c r="D60" s="120">
        <f>세입예산서!E69</f>
        <v>64752798</v>
      </c>
      <c r="E60" s="44">
        <f>E61+E77</f>
        <v>292108040</v>
      </c>
      <c r="F60" s="134">
        <f>E60-D60</f>
        <v>227355242</v>
      </c>
      <c r="G60" s="114"/>
      <c r="H60" s="18"/>
      <c r="I60" s="19"/>
      <c r="J60" s="19"/>
      <c r="K60" s="33"/>
      <c r="L60" s="18"/>
      <c r="M60" s="18"/>
      <c r="N60" s="1084">
        <f>N61+N77</f>
        <v>303792361.60000002</v>
      </c>
      <c r="O60" s="1084"/>
      <c r="P60" s="1084"/>
      <c r="Q60" s="1085"/>
      <c r="R60" s="405"/>
      <c r="S60" s="285"/>
      <c r="T60" s="285"/>
    </row>
    <row r="61" spans="1:20" ht="24" customHeight="1">
      <c r="A61" s="1070"/>
      <c r="B61" s="1156"/>
      <c r="C61" s="611" t="s">
        <v>440</v>
      </c>
      <c r="D61" s="620">
        <f>세입예산서!E70</f>
        <v>58752798</v>
      </c>
      <c r="E61" s="1259">
        <f>N61</f>
        <v>292108040</v>
      </c>
      <c r="F61" s="272">
        <f>E61-D61</f>
        <v>233355242</v>
      </c>
      <c r="G61" s="104" t="s">
        <v>62</v>
      </c>
      <c r="H61" s="18"/>
      <c r="I61" s="19"/>
      <c r="J61" s="19"/>
      <c r="K61" s="33"/>
      <c r="L61" s="18"/>
      <c r="M61" s="18"/>
      <c r="N61" s="1084">
        <f>SUM(Q62:Q76)</f>
        <v>292108040</v>
      </c>
      <c r="O61" s="1084"/>
      <c r="P61" s="1084"/>
      <c r="Q61" s="1085"/>
      <c r="R61" s="405"/>
      <c r="S61" s="285"/>
      <c r="T61" s="285"/>
    </row>
    <row r="62" spans="1:20" ht="24" customHeight="1">
      <c r="A62" s="1070"/>
      <c r="B62" s="1157"/>
      <c r="C62" s="273"/>
      <c r="D62" s="621"/>
      <c r="E62" s="1264"/>
      <c r="F62" s="274"/>
      <c r="G62" s="106" t="s">
        <v>129</v>
      </c>
      <c r="H62" s="463">
        <f>65190*0.8</f>
        <v>52152</v>
      </c>
      <c r="I62" s="20" t="s">
        <v>0</v>
      </c>
      <c r="J62" s="20" t="s">
        <v>1</v>
      </c>
      <c r="K62" s="86">
        <v>0</v>
      </c>
      <c r="L62" s="20" t="s">
        <v>2</v>
      </c>
      <c r="M62" s="20" t="s">
        <v>1</v>
      </c>
      <c r="N62" s="440">
        <v>365</v>
      </c>
      <c r="O62" s="20" t="s">
        <v>179</v>
      </c>
      <c r="P62" s="20" t="s">
        <v>3</v>
      </c>
      <c r="Q62" s="509">
        <f t="shared" ref="Q62:Q73" si="1">(H62*K62)*N62</f>
        <v>0</v>
      </c>
      <c r="R62" s="405"/>
      <c r="S62" s="285"/>
      <c r="T62" s="285"/>
    </row>
    <row r="63" spans="1:20" ht="24" customHeight="1">
      <c r="A63" s="1070"/>
      <c r="B63" s="1157"/>
      <c r="C63" s="273"/>
      <c r="D63" s="621"/>
      <c r="E63" s="1264"/>
      <c r="F63" s="274"/>
      <c r="G63" s="107" t="s">
        <v>118</v>
      </c>
      <c r="H63" s="29">
        <f>65190*0.9</f>
        <v>58671</v>
      </c>
      <c r="I63" s="22" t="s">
        <v>0</v>
      </c>
      <c r="J63" s="22" t="s">
        <v>1</v>
      </c>
      <c r="K63" s="36">
        <v>1</v>
      </c>
      <c r="L63" s="22" t="s">
        <v>2</v>
      </c>
      <c r="M63" s="22" t="s">
        <v>1</v>
      </c>
      <c r="N63" s="441">
        <v>365</v>
      </c>
      <c r="O63" s="54" t="s">
        <v>179</v>
      </c>
      <c r="P63" s="22" t="s">
        <v>3</v>
      </c>
      <c r="Q63" s="526">
        <f t="shared" si="1"/>
        <v>21414915</v>
      </c>
      <c r="R63" s="405"/>
      <c r="S63" s="285"/>
      <c r="T63" s="285"/>
    </row>
    <row r="64" spans="1:20" ht="24" customHeight="1">
      <c r="A64" s="1070"/>
      <c r="B64" s="1157"/>
      <c r="C64" s="273"/>
      <c r="D64" s="621"/>
      <c r="E64" s="1264"/>
      <c r="F64" s="274"/>
      <c r="G64" s="113" t="s">
        <v>132</v>
      </c>
      <c r="H64" s="464">
        <v>65190</v>
      </c>
      <c r="I64" s="22" t="s">
        <v>0</v>
      </c>
      <c r="J64" s="22" t="s">
        <v>1</v>
      </c>
      <c r="K64" s="330">
        <v>0</v>
      </c>
      <c r="L64" s="22" t="s">
        <v>2</v>
      </c>
      <c r="M64" s="22" t="s">
        <v>1</v>
      </c>
      <c r="N64" s="441">
        <v>365</v>
      </c>
      <c r="O64" s="22" t="s">
        <v>178</v>
      </c>
      <c r="P64" s="22" t="s">
        <v>3</v>
      </c>
      <c r="Q64" s="526">
        <f t="shared" si="1"/>
        <v>0</v>
      </c>
      <c r="R64" s="405"/>
      <c r="S64" s="285"/>
      <c r="T64" s="285"/>
    </row>
    <row r="65" spans="1:20" ht="24" customHeight="1">
      <c r="A65" s="1070"/>
      <c r="B65" s="1157"/>
      <c r="C65" s="273"/>
      <c r="D65" s="621"/>
      <c r="E65" s="1264"/>
      <c r="F65" s="274"/>
      <c r="G65" s="107" t="s">
        <v>119</v>
      </c>
      <c r="H65" s="29">
        <f>60490*0.8</f>
        <v>48392</v>
      </c>
      <c r="I65" s="22" t="s">
        <v>0</v>
      </c>
      <c r="J65" s="22" t="s">
        <v>1</v>
      </c>
      <c r="K65" s="36">
        <v>2</v>
      </c>
      <c r="L65" s="22" t="s">
        <v>2</v>
      </c>
      <c r="M65" s="22" t="s">
        <v>1</v>
      </c>
      <c r="N65" s="441">
        <v>365</v>
      </c>
      <c r="O65" s="54" t="s">
        <v>178</v>
      </c>
      <c r="P65" s="22" t="s">
        <v>3</v>
      </c>
      <c r="Q65" s="526">
        <f t="shared" si="1"/>
        <v>35326160</v>
      </c>
      <c r="R65" s="405"/>
      <c r="S65" s="285"/>
      <c r="T65" s="285"/>
    </row>
    <row r="66" spans="1:20" ht="24" customHeight="1">
      <c r="A66" s="1070"/>
      <c r="B66" s="1157"/>
      <c r="C66" s="273"/>
      <c r="D66" s="621"/>
      <c r="E66" s="1264"/>
      <c r="F66" s="274"/>
      <c r="G66" s="107" t="s">
        <v>120</v>
      </c>
      <c r="H66" s="29">
        <f>60490*0.9</f>
        <v>54441</v>
      </c>
      <c r="I66" s="22" t="s">
        <v>0</v>
      </c>
      <c r="J66" s="22" t="s">
        <v>1</v>
      </c>
      <c r="K66" s="36">
        <v>1</v>
      </c>
      <c r="L66" s="22" t="s">
        <v>2</v>
      </c>
      <c r="M66" s="22" t="s">
        <v>1</v>
      </c>
      <c r="N66" s="441">
        <v>365</v>
      </c>
      <c r="O66" s="22" t="s">
        <v>178</v>
      </c>
      <c r="P66" s="22" t="s">
        <v>3</v>
      </c>
      <c r="Q66" s="526">
        <f t="shared" si="1"/>
        <v>19870965</v>
      </c>
      <c r="R66" s="405"/>
      <c r="S66" s="285"/>
      <c r="T66" s="285"/>
    </row>
    <row r="67" spans="1:20" ht="24" customHeight="1">
      <c r="A67" s="1070"/>
      <c r="B67" s="1157"/>
      <c r="C67" s="273"/>
      <c r="D67" s="621"/>
      <c r="E67" s="1264"/>
      <c r="F67" s="274"/>
      <c r="G67" s="113" t="s">
        <v>133</v>
      </c>
      <c r="H67" s="29">
        <v>60490</v>
      </c>
      <c r="I67" s="22" t="s">
        <v>0</v>
      </c>
      <c r="J67" s="22" t="s">
        <v>1</v>
      </c>
      <c r="K67" s="330">
        <v>1</v>
      </c>
      <c r="L67" s="22" t="s">
        <v>2</v>
      </c>
      <c r="M67" s="22" t="s">
        <v>1</v>
      </c>
      <c r="N67" s="441">
        <v>365</v>
      </c>
      <c r="O67" s="22" t="s">
        <v>178</v>
      </c>
      <c r="P67" s="22" t="s">
        <v>3</v>
      </c>
      <c r="Q67" s="526">
        <f t="shared" si="1"/>
        <v>22078850</v>
      </c>
      <c r="R67" s="405"/>
      <c r="S67" s="285"/>
      <c r="T67" s="285"/>
    </row>
    <row r="68" spans="1:20" ht="24" customHeight="1">
      <c r="A68" s="1070"/>
      <c r="B68" s="1157"/>
      <c r="C68" s="273"/>
      <c r="D68" s="621"/>
      <c r="E68" s="1264"/>
      <c r="F68" s="274"/>
      <c r="G68" s="107" t="s">
        <v>122</v>
      </c>
      <c r="H68" s="29">
        <f>55780*0.8</f>
        <v>44624</v>
      </c>
      <c r="I68" s="22" t="s">
        <v>0</v>
      </c>
      <c r="J68" s="22" t="s">
        <v>1</v>
      </c>
      <c r="K68" s="36">
        <v>5</v>
      </c>
      <c r="L68" s="22" t="s">
        <v>2</v>
      </c>
      <c r="M68" s="22" t="s">
        <v>1</v>
      </c>
      <c r="N68" s="441">
        <v>365</v>
      </c>
      <c r="O68" s="268" t="s">
        <v>178</v>
      </c>
      <c r="P68" s="22" t="s">
        <v>3</v>
      </c>
      <c r="Q68" s="526">
        <f t="shared" si="1"/>
        <v>81438800</v>
      </c>
      <c r="R68" s="405"/>
      <c r="S68" s="285"/>
      <c r="T68" s="285"/>
    </row>
    <row r="69" spans="1:20" ht="24" customHeight="1">
      <c r="A69" s="1070"/>
      <c r="B69" s="1157"/>
      <c r="C69" s="273"/>
      <c r="D69" s="621"/>
      <c r="E69" s="1264"/>
      <c r="F69" s="274"/>
      <c r="G69" s="107" t="s">
        <v>123</v>
      </c>
      <c r="H69" s="29">
        <f>55780*0.9</f>
        <v>50202</v>
      </c>
      <c r="I69" s="22" t="s">
        <v>0</v>
      </c>
      <c r="J69" s="22" t="s">
        <v>1</v>
      </c>
      <c r="K69" s="36">
        <v>0</v>
      </c>
      <c r="L69" s="22" t="s">
        <v>2</v>
      </c>
      <c r="M69" s="22" t="s">
        <v>1</v>
      </c>
      <c r="N69" s="441">
        <v>365</v>
      </c>
      <c r="O69" s="22" t="s">
        <v>178</v>
      </c>
      <c r="P69" s="22" t="s">
        <v>3</v>
      </c>
      <c r="Q69" s="526">
        <f t="shared" si="1"/>
        <v>0</v>
      </c>
      <c r="R69" s="405"/>
      <c r="S69" s="285"/>
      <c r="T69" s="285"/>
    </row>
    <row r="70" spans="1:20" ht="24" customHeight="1">
      <c r="A70" s="1070"/>
      <c r="B70" s="1157"/>
      <c r="C70" s="273"/>
      <c r="D70" s="621"/>
      <c r="E70" s="1264"/>
      <c r="F70" s="274"/>
      <c r="G70" s="105" t="s">
        <v>134</v>
      </c>
      <c r="H70" s="29">
        <v>55780</v>
      </c>
      <c r="I70" s="54" t="s">
        <v>0</v>
      </c>
      <c r="J70" s="54" t="s">
        <v>1</v>
      </c>
      <c r="K70" s="331">
        <v>2</v>
      </c>
      <c r="L70" s="54" t="s">
        <v>2</v>
      </c>
      <c r="M70" s="54" t="s">
        <v>1</v>
      </c>
      <c r="N70" s="441">
        <v>365</v>
      </c>
      <c r="O70" s="12" t="s">
        <v>178</v>
      </c>
      <c r="P70" s="54" t="s">
        <v>3</v>
      </c>
      <c r="Q70" s="511">
        <f t="shared" si="1"/>
        <v>40719400</v>
      </c>
      <c r="R70" s="405"/>
      <c r="S70" s="285"/>
      <c r="T70" s="285"/>
    </row>
    <row r="71" spans="1:20" ht="24" customHeight="1">
      <c r="A71" s="1070"/>
      <c r="B71" s="1157"/>
      <c r="C71" s="273"/>
      <c r="D71" s="621"/>
      <c r="E71" s="1264"/>
      <c r="F71" s="274"/>
      <c r="G71" s="107" t="s">
        <v>248</v>
      </c>
      <c r="H71" s="29">
        <f>55780*0.8</f>
        <v>44624</v>
      </c>
      <c r="I71" s="22" t="s">
        <v>0</v>
      </c>
      <c r="J71" s="22" t="s">
        <v>1</v>
      </c>
      <c r="K71" s="36">
        <v>1</v>
      </c>
      <c r="L71" s="22" t="s">
        <v>2</v>
      </c>
      <c r="M71" s="22" t="s">
        <v>1</v>
      </c>
      <c r="N71" s="441">
        <v>365</v>
      </c>
      <c r="O71" s="22" t="s">
        <v>178</v>
      </c>
      <c r="P71" s="22" t="s">
        <v>3</v>
      </c>
      <c r="Q71" s="526">
        <f t="shared" si="1"/>
        <v>16287760</v>
      </c>
      <c r="R71" s="405"/>
      <c r="S71" s="285"/>
      <c r="T71" s="285"/>
    </row>
    <row r="72" spans="1:20" ht="24" customHeight="1">
      <c r="A72" s="1070"/>
      <c r="B72" s="1157"/>
      <c r="C72" s="273"/>
      <c r="D72" s="621"/>
      <c r="E72" s="1264"/>
      <c r="F72" s="274"/>
      <c r="G72" s="107" t="s">
        <v>249</v>
      </c>
      <c r="H72" s="29">
        <f>55780*0.9</f>
        <v>50202</v>
      </c>
      <c r="I72" s="22" t="s">
        <v>0</v>
      </c>
      <c r="J72" s="22" t="s">
        <v>1</v>
      </c>
      <c r="K72" s="36">
        <v>1</v>
      </c>
      <c r="L72" s="22" t="s">
        <v>2</v>
      </c>
      <c r="M72" s="22" t="s">
        <v>1</v>
      </c>
      <c r="N72" s="441">
        <v>365</v>
      </c>
      <c r="O72" s="22" t="s">
        <v>178</v>
      </c>
      <c r="P72" s="22" t="s">
        <v>3</v>
      </c>
      <c r="Q72" s="526">
        <f t="shared" si="1"/>
        <v>18323730</v>
      </c>
      <c r="R72" s="405"/>
      <c r="S72" s="285"/>
      <c r="T72" s="285"/>
    </row>
    <row r="73" spans="1:20" ht="24" customHeight="1">
      <c r="A73" s="1070"/>
      <c r="B73" s="1157"/>
      <c r="C73" s="273"/>
      <c r="D73" s="621"/>
      <c r="E73" s="1264"/>
      <c r="F73" s="274"/>
      <c r="G73" s="105" t="s">
        <v>250</v>
      </c>
      <c r="H73" s="29">
        <v>55780</v>
      </c>
      <c r="I73" s="54" t="s">
        <v>0</v>
      </c>
      <c r="J73" s="54" t="s">
        <v>1</v>
      </c>
      <c r="K73" s="331">
        <v>1</v>
      </c>
      <c r="L73" s="54" t="s">
        <v>2</v>
      </c>
      <c r="M73" s="54" t="s">
        <v>1</v>
      </c>
      <c r="N73" s="441">
        <v>365</v>
      </c>
      <c r="O73" s="268" t="s">
        <v>178</v>
      </c>
      <c r="P73" s="54" t="s">
        <v>3</v>
      </c>
      <c r="Q73" s="511">
        <f t="shared" si="1"/>
        <v>20359700</v>
      </c>
      <c r="R73" s="405"/>
      <c r="S73" s="285"/>
      <c r="T73" s="285"/>
    </row>
    <row r="74" spans="1:20" ht="24" customHeight="1">
      <c r="A74" s="1070"/>
      <c r="B74" s="1157"/>
      <c r="C74" s="273"/>
      <c r="D74" s="621"/>
      <c r="E74" s="1264"/>
      <c r="F74" s="274"/>
      <c r="G74" s="107" t="s">
        <v>269</v>
      </c>
      <c r="H74" s="29">
        <f>55780*0.8</f>
        <v>44624</v>
      </c>
      <c r="I74" s="22" t="s">
        <v>0</v>
      </c>
      <c r="J74" s="22" t="s">
        <v>1</v>
      </c>
      <c r="K74" s="36">
        <v>1</v>
      </c>
      <c r="L74" s="22" t="s">
        <v>2</v>
      </c>
      <c r="M74" s="22" t="s">
        <v>1</v>
      </c>
      <c r="N74" s="441">
        <v>365</v>
      </c>
      <c r="O74" s="268" t="s">
        <v>178</v>
      </c>
      <c r="P74" s="22" t="s">
        <v>3</v>
      </c>
      <c r="Q74" s="526">
        <f>(H74*K74)*N74</f>
        <v>16287760</v>
      </c>
      <c r="R74" s="405"/>
      <c r="S74" s="285"/>
      <c r="T74" s="285"/>
    </row>
    <row r="75" spans="1:20" ht="24" customHeight="1">
      <c r="A75" s="1070"/>
      <c r="B75" s="1157"/>
      <c r="C75" s="273"/>
      <c r="D75" s="621"/>
      <c r="E75" s="1264"/>
      <c r="F75" s="274"/>
      <c r="G75" s="107" t="s">
        <v>270</v>
      </c>
      <c r="H75" s="29">
        <f>55780*0.9</f>
        <v>50202</v>
      </c>
      <c r="I75" s="22" t="s">
        <v>0</v>
      </c>
      <c r="J75" s="22" t="s">
        <v>1</v>
      </c>
      <c r="K75" s="36">
        <v>0</v>
      </c>
      <c r="L75" s="22" t="s">
        <v>2</v>
      </c>
      <c r="M75" s="22" t="s">
        <v>1</v>
      </c>
      <c r="N75" s="441">
        <v>365</v>
      </c>
      <c r="O75" s="22" t="s">
        <v>178</v>
      </c>
      <c r="P75" s="22" t="s">
        <v>3</v>
      </c>
      <c r="Q75" s="526">
        <f>(H75*K75)*N75</f>
        <v>0</v>
      </c>
      <c r="R75" s="405"/>
      <c r="S75" s="285"/>
      <c r="T75" s="285"/>
    </row>
    <row r="76" spans="1:20" ht="24" customHeight="1">
      <c r="A76" s="1070"/>
      <c r="B76" s="1157"/>
      <c r="C76" s="273"/>
      <c r="D76" s="621"/>
      <c r="E76" s="1260"/>
      <c r="F76" s="274"/>
      <c r="G76" s="105" t="s">
        <v>271</v>
      </c>
      <c r="H76" s="29">
        <v>55780</v>
      </c>
      <c r="I76" s="54" t="s">
        <v>0</v>
      </c>
      <c r="J76" s="54" t="s">
        <v>1</v>
      </c>
      <c r="K76" s="331">
        <v>0</v>
      </c>
      <c r="L76" s="54" t="s">
        <v>2</v>
      </c>
      <c r="M76" s="54" t="s">
        <v>1</v>
      </c>
      <c r="N76" s="441">
        <v>365</v>
      </c>
      <c r="O76" s="12" t="s">
        <v>178</v>
      </c>
      <c r="P76" s="54" t="s">
        <v>3</v>
      </c>
      <c r="Q76" s="511">
        <f>(H76*K76)*N76</f>
        <v>0</v>
      </c>
      <c r="R76" s="405"/>
      <c r="S76" s="285"/>
      <c r="T76" s="285"/>
    </row>
    <row r="77" spans="1:20" ht="24" customHeight="1">
      <c r="A77" s="1070"/>
      <c r="B77" s="1157"/>
      <c r="C77" s="612" t="s">
        <v>312</v>
      </c>
      <c r="D77" s="1277">
        <f>세입예산서!E95</f>
        <v>6000000</v>
      </c>
      <c r="E77" s="1279">
        <v>0</v>
      </c>
      <c r="F77" s="1279">
        <f>E77-D77</f>
        <v>-6000000</v>
      </c>
      <c r="G77" s="104" t="s">
        <v>438</v>
      </c>
      <c r="H77" s="18"/>
      <c r="I77" s="19"/>
      <c r="J77" s="19"/>
      <c r="K77" s="33"/>
      <c r="L77" s="18"/>
      <c r="M77" s="18"/>
      <c r="N77" s="1281">
        <f>Q78</f>
        <v>11684321.6</v>
      </c>
      <c r="O77" s="1281"/>
      <c r="P77" s="1281"/>
      <c r="Q77" s="1282"/>
      <c r="R77" s="405"/>
      <c r="S77" s="285"/>
      <c r="T77" s="285"/>
    </row>
    <row r="78" spans="1:20" ht="24" customHeight="1" thickBot="1">
      <c r="A78" s="1070"/>
      <c r="B78" s="1157"/>
      <c r="C78" s="482"/>
      <c r="D78" s="1278"/>
      <c r="E78" s="1280"/>
      <c r="F78" s="1280"/>
      <c r="G78" s="548" t="s">
        <v>313</v>
      </c>
      <c r="H78" s="463">
        <f>SUM(Q58:Q76)*0.04/12</f>
        <v>973693.46666666667</v>
      </c>
      <c r="I78" s="16" t="s">
        <v>0</v>
      </c>
      <c r="J78" s="16" t="s">
        <v>1</v>
      </c>
      <c r="K78" s="549">
        <v>1</v>
      </c>
      <c r="L78" s="16" t="s">
        <v>2</v>
      </c>
      <c r="M78" s="16" t="s">
        <v>1</v>
      </c>
      <c r="N78" s="445">
        <v>12</v>
      </c>
      <c r="O78" s="16" t="s">
        <v>93</v>
      </c>
      <c r="P78" s="16" t="s">
        <v>3</v>
      </c>
      <c r="Q78" s="550">
        <f>(H78*K78)*N78</f>
        <v>11684321.6</v>
      </c>
      <c r="R78" s="405"/>
      <c r="S78" s="285"/>
      <c r="T78" s="285"/>
    </row>
    <row r="79" spans="1:20" s="11" customFormat="1" ht="24" customHeight="1">
      <c r="A79" s="1144" t="s">
        <v>71</v>
      </c>
      <c r="B79" s="1135"/>
      <c r="C79" s="1135"/>
      <c r="D79" s="598">
        <f>세입예산서!E97</f>
        <v>0</v>
      </c>
      <c r="E79" s="500">
        <f>E80</f>
        <v>0</v>
      </c>
      <c r="F79" s="501">
        <f>E79-D79</f>
        <v>0</v>
      </c>
      <c r="G79" s="502"/>
      <c r="H79" s="503"/>
      <c r="I79" s="503"/>
      <c r="J79" s="503"/>
      <c r="K79" s="503"/>
      <c r="L79" s="503"/>
      <c r="M79" s="503"/>
      <c r="N79" s="504"/>
      <c r="O79" s="503"/>
      <c r="P79" s="503"/>
      <c r="Q79" s="505">
        <f>Q80</f>
        <v>0</v>
      </c>
      <c r="R79" s="416"/>
      <c r="S79" s="289">
        <f>Q79</f>
        <v>0</v>
      </c>
      <c r="T79" s="288"/>
    </row>
    <row r="80" spans="1:20" s="11" customFormat="1" ht="24" customHeight="1">
      <c r="A80" s="506"/>
      <c r="B80" s="1138" t="s">
        <v>65</v>
      </c>
      <c r="C80" s="1137"/>
      <c r="D80" s="599">
        <f>세입예산서!E98</f>
        <v>0</v>
      </c>
      <c r="E80" s="78">
        <f>E81+E83</f>
        <v>0</v>
      </c>
      <c r="F80" s="119">
        <f>E80-D80</f>
        <v>0</v>
      </c>
      <c r="G80" s="130"/>
      <c r="H80" s="131"/>
      <c r="I80" s="131"/>
      <c r="J80" s="131"/>
      <c r="K80" s="131"/>
      <c r="L80" s="131"/>
      <c r="M80" s="131"/>
      <c r="N80" s="453"/>
      <c r="O80" s="131"/>
      <c r="P80" s="131"/>
      <c r="Q80" s="507">
        <f>Q81+Q83</f>
        <v>0</v>
      </c>
      <c r="R80" s="416"/>
      <c r="S80" s="288"/>
      <c r="T80" s="288"/>
    </row>
    <row r="81" spans="1:20" s="11" customFormat="1" ht="24" customHeight="1">
      <c r="A81" s="536"/>
      <c r="B81" s="58"/>
      <c r="C81" s="1056" t="s">
        <v>125</v>
      </c>
      <c r="D81" s="1256">
        <f>세입예산서!E99</f>
        <v>0</v>
      </c>
      <c r="E81" s="1258">
        <f>Q81</f>
        <v>0</v>
      </c>
      <c r="F81" s="1259">
        <f>E81-D81</f>
        <v>0</v>
      </c>
      <c r="G81" s="110" t="s">
        <v>66</v>
      </c>
      <c r="H81" s="87"/>
      <c r="I81" s="88"/>
      <c r="J81" s="16"/>
      <c r="K81" s="35"/>
      <c r="L81" s="17"/>
      <c r="M81" s="17"/>
      <c r="N81" s="439"/>
      <c r="O81" s="16"/>
      <c r="P81" s="16" t="s">
        <v>3</v>
      </c>
      <c r="Q81" s="525">
        <f>Q82</f>
        <v>0</v>
      </c>
      <c r="R81" s="416"/>
      <c r="S81" s="288"/>
      <c r="T81" s="288"/>
    </row>
    <row r="82" spans="1:20" s="11" customFormat="1" ht="24" customHeight="1">
      <c r="A82" s="536"/>
      <c r="B82" s="73"/>
      <c r="C82" s="1057"/>
      <c r="D82" s="1257"/>
      <c r="E82" s="1258"/>
      <c r="F82" s="1260"/>
      <c r="G82" s="108" t="s">
        <v>67</v>
      </c>
      <c r="H82" s="30">
        <v>0</v>
      </c>
      <c r="I82" s="23" t="s">
        <v>0</v>
      </c>
      <c r="J82" s="23"/>
      <c r="K82" s="34"/>
      <c r="L82" s="24"/>
      <c r="M82" s="24"/>
      <c r="N82" s="449"/>
      <c r="O82" s="23"/>
      <c r="P82" s="23" t="s">
        <v>3</v>
      </c>
      <c r="Q82" s="532">
        <f>H82</f>
        <v>0</v>
      </c>
      <c r="R82" s="416"/>
      <c r="S82" s="288"/>
      <c r="T82" s="288"/>
    </row>
    <row r="83" spans="1:20" s="11" customFormat="1" ht="24" customHeight="1">
      <c r="A83" s="536"/>
      <c r="B83" s="73"/>
      <c r="C83" s="1118" t="s">
        <v>68</v>
      </c>
      <c r="D83" s="1254">
        <f>세입예산서!E101</f>
        <v>0</v>
      </c>
      <c r="E83" s="1258">
        <f>Q83</f>
        <v>0</v>
      </c>
      <c r="F83" s="1259">
        <f>E83-D83</f>
        <v>0</v>
      </c>
      <c r="G83" s="106" t="s">
        <v>69</v>
      </c>
      <c r="H83" s="70"/>
      <c r="I83" s="71"/>
      <c r="J83" s="20"/>
      <c r="K83" s="32"/>
      <c r="L83" s="21"/>
      <c r="M83" s="21"/>
      <c r="N83" s="454"/>
      <c r="O83" s="20"/>
      <c r="P83" s="20" t="s">
        <v>3</v>
      </c>
      <c r="Q83" s="509">
        <f>Q84</f>
        <v>0</v>
      </c>
      <c r="R83" s="416"/>
      <c r="S83" s="288"/>
      <c r="T83" s="288"/>
    </row>
    <row r="84" spans="1:20" s="11" customFormat="1" ht="24" customHeight="1" thickBot="1">
      <c r="A84" s="546"/>
      <c r="B84" s="547"/>
      <c r="C84" s="1060"/>
      <c r="D84" s="1267"/>
      <c r="E84" s="1268"/>
      <c r="F84" s="1266"/>
      <c r="G84" s="551" t="s">
        <v>70</v>
      </c>
      <c r="H84" s="552">
        <v>0</v>
      </c>
      <c r="I84" s="553" t="s">
        <v>0</v>
      </c>
      <c r="J84" s="553"/>
      <c r="K84" s="554"/>
      <c r="L84" s="555"/>
      <c r="M84" s="555"/>
      <c r="N84" s="556"/>
      <c r="O84" s="553"/>
      <c r="P84" s="553" t="s">
        <v>3</v>
      </c>
      <c r="Q84" s="557">
        <f>H84</f>
        <v>0</v>
      </c>
      <c r="R84" s="416"/>
      <c r="S84" s="288"/>
      <c r="T84" s="288"/>
    </row>
    <row r="85" spans="1:20" ht="24" customHeight="1">
      <c r="A85" s="1149" t="s">
        <v>72</v>
      </c>
      <c r="B85" s="1153"/>
      <c r="C85" s="1153"/>
      <c r="D85" s="596">
        <f>세입예산서!E103</f>
        <v>25200000</v>
      </c>
      <c r="E85" s="72">
        <f>E86</f>
        <v>0</v>
      </c>
      <c r="F85" s="541">
        <f>E85-D85</f>
        <v>-25200000</v>
      </c>
      <c r="G85" s="542"/>
      <c r="H85" s="543"/>
      <c r="I85" s="543"/>
      <c r="J85" s="543"/>
      <c r="K85" s="543"/>
      <c r="L85" s="543"/>
      <c r="M85" s="543"/>
      <c r="N85" s="544"/>
      <c r="O85" s="543"/>
      <c r="P85" s="543"/>
      <c r="Q85" s="545">
        <f>Q86</f>
        <v>0</v>
      </c>
      <c r="R85" s="405"/>
      <c r="S85" s="287">
        <f>Q85</f>
        <v>0</v>
      </c>
      <c r="T85" s="285"/>
    </row>
    <row r="86" spans="1:20" ht="24" customHeight="1">
      <c r="A86" s="1069"/>
      <c r="B86" s="1071" t="s">
        <v>73</v>
      </c>
      <c r="C86" s="1072"/>
      <c r="D86" s="120">
        <f>세입예산서!E104</f>
        <v>25200000</v>
      </c>
      <c r="E86" s="44">
        <f>E87</f>
        <v>0</v>
      </c>
      <c r="F86" s="119">
        <f>E86-D86</f>
        <v>-25200000</v>
      </c>
      <c r="G86" s="130"/>
      <c r="H86" s="131"/>
      <c r="I86" s="131"/>
      <c r="J86" s="131"/>
      <c r="K86" s="131"/>
      <c r="L86" s="131"/>
      <c r="M86" s="131"/>
      <c r="N86" s="453"/>
      <c r="O86" s="131"/>
      <c r="P86" s="131"/>
      <c r="Q86" s="507">
        <f>Q87+Q89+Q91+Q93</f>
        <v>0</v>
      </c>
      <c r="R86" s="405"/>
      <c r="S86" s="285"/>
      <c r="T86" s="285"/>
    </row>
    <row r="87" spans="1:20" ht="24" customHeight="1">
      <c r="A87" s="1070"/>
      <c r="B87" s="10"/>
      <c r="C87" s="1106" t="s">
        <v>74</v>
      </c>
      <c r="D87" s="1269">
        <f>세입예산서!E105</f>
        <v>0</v>
      </c>
      <c r="E87" s="1271">
        <f>Q87</f>
        <v>0</v>
      </c>
      <c r="F87" s="1259">
        <f>E87-D87</f>
        <v>0</v>
      </c>
      <c r="G87" s="110" t="s">
        <v>75</v>
      </c>
      <c r="H87" s="87"/>
      <c r="I87" s="88"/>
      <c r="J87" s="16"/>
      <c r="K87" s="35"/>
      <c r="L87" s="17"/>
      <c r="M87" s="17"/>
      <c r="N87" s="439"/>
      <c r="O87" s="16"/>
      <c r="P87" s="16" t="s">
        <v>3</v>
      </c>
      <c r="Q87" s="525">
        <f>Q88</f>
        <v>0</v>
      </c>
      <c r="R87" s="405"/>
      <c r="S87" s="285"/>
      <c r="T87" s="285"/>
    </row>
    <row r="88" spans="1:20" ht="24" customHeight="1">
      <c r="A88" s="1070"/>
      <c r="B88" s="9"/>
      <c r="C88" s="1066"/>
      <c r="D88" s="1270"/>
      <c r="E88" s="1271"/>
      <c r="F88" s="1260"/>
      <c r="G88" s="108" t="s">
        <v>76</v>
      </c>
      <c r="H88" s="30">
        <v>0</v>
      </c>
      <c r="I88" s="23" t="s">
        <v>0</v>
      </c>
      <c r="J88" s="23"/>
      <c r="K88" s="34"/>
      <c r="L88" s="24"/>
      <c r="M88" s="24"/>
      <c r="N88" s="449"/>
      <c r="O88" s="23"/>
      <c r="P88" s="23" t="s">
        <v>3</v>
      </c>
      <c r="Q88" s="532">
        <f>H88</f>
        <v>0</v>
      </c>
      <c r="R88" s="405"/>
      <c r="S88" s="285"/>
      <c r="T88" s="285"/>
    </row>
    <row r="89" spans="1:20" ht="24" customHeight="1">
      <c r="A89" s="1070"/>
      <c r="B89" s="10"/>
      <c r="C89" s="1065" t="s">
        <v>314</v>
      </c>
      <c r="D89" s="1269">
        <f>세입예산서!E107</f>
        <v>0</v>
      </c>
      <c r="E89" s="1271">
        <f>Q89</f>
        <v>0</v>
      </c>
      <c r="F89" s="1259">
        <f>E89-D89</f>
        <v>0</v>
      </c>
      <c r="G89" s="487" t="s">
        <v>317</v>
      </c>
      <c r="H89" s="87"/>
      <c r="I89" s="88"/>
      <c r="J89" s="16"/>
      <c r="K89" s="35"/>
      <c r="L89" s="17"/>
      <c r="M89" s="17"/>
      <c r="N89" s="439"/>
      <c r="O89" s="16"/>
      <c r="P89" s="16" t="s">
        <v>3</v>
      </c>
      <c r="Q89" s="525">
        <f>Q90</f>
        <v>0</v>
      </c>
      <c r="R89" s="405"/>
      <c r="S89" s="285"/>
      <c r="T89" s="285"/>
    </row>
    <row r="90" spans="1:20" ht="24" customHeight="1">
      <c r="A90" s="1070"/>
      <c r="B90" s="9"/>
      <c r="C90" s="1066"/>
      <c r="D90" s="1270"/>
      <c r="E90" s="1271"/>
      <c r="F90" s="1260"/>
      <c r="G90" s="486" t="s">
        <v>318</v>
      </c>
      <c r="H90" s="30">
        <v>0</v>
      </c>
      <c r="I90" s="23" t="s">
        <v>0</v>
      </c>
      <c r="J90" s="23"/>
      <c r="K90" s="34"/>
      <c r="L90" s="24"/>
      <c r="M90" s="24"/>
      <c r="N90" s="449"/>
      <c r="O90" s="23"/>
      <c r="P90" s="23" t="s">
        <v>3</v>
      </c>
      <c r="Q90" s="532">
        <f>H90</f>
        <v>0</v>
      </c>
      <c r="R90" s="405"/>
      <c r="S90" s="285"/>
      <c r="T90" s="285"/>
    </row>
    <row r="91" spans="1:20" ht="24" customHeight="1">
      <c r="A91" s="1070"/>
      <c r="B91" s="10"/>
      <c r="C91" s="1106" t="s">
        <v>315</v>
      </c>
      <c r="D91" s="1269">
        <f>세입예산서!E109</f>
        <v>25200000</v>
      </c>
      <c r="E91" s="1271">
        <f>Q91</f>
        <v>0</v>
      </c>
      <c r="F91" s="1259">
        <f>E91-D91</f>
        <v>-25200000</v>
      </c>
      <c r="G91" s="110" t="s">
        <v>319</v>
      </c>
      <c r="H91" s="87"/>
      <c r="I91" s="88"/>
      <c r="J91" s="16"/>
      <c r="K91" s="35"/>
      <c r="L91" s="17"/>
      <c r="M91" s="17"/>
      <c r="N91" s="439"/>
      <c r="O91" s="16"/>
      <c r="P91" s="16" t="s">
        <v>3</v>
      </c>
      <c r="Q91" s="525">
        <f>Q92</f>
        <v>0</v>
      </c>
      <c r="R91" s="405"/>
      <c r="S91" s="285"/>
      <c r="T91" s="285"/>
    </row>
    <row r="92" spans="1:20" ht="24" customHeight="1">
      <c r="A92" s="1070"/>
      <c r="B92" s="9"/>
      <c r="C92" s="1066"/>
      <c r="D92" s="1270"/>
      <c r="E92" s="1271"/>
      <c r="F92" s="1260"/>
      <c r="G92" s="108" t="s">
        <v>320</v>
      </c>
      <c r="H92" s="30">
        <v>0</v>
      </c>
      <c r="I92" s="23" t="s">
        <v>0</v>
      </c>
      <c r="J92" s="23"/>
      <c r="K92" s="34"/>
      <c r="L92" s="24"/>
      <c r="M92" s="24"/>
      <c r="N92" s="449"/>
      <c r="O92" s="23"/>
      <c r="P92" s="23" t="s">
        <v>3</v>
      </c>
      <c r="Q92" s="532">
        <f>H92</f>
        <v>0</v>
      </c>
      <c r="R92" s="405"/>
      <c r="S92" s="285"/>
      <c r="T92" s="285"/>
    </row>
    <row r="93" spans="1:20" ht="24" customHeight="1">
      <c r="A93" s="1070"/>
      <c r="B93" s="10"/>
      <c r="C93" s="1065" t="s">
        <v>316</v>
      </c>
      <c r="D93" s="1269">
        <f>세입예산서!E111</f>
        <v>0</v>
      </c>
      <c r="E93" s="1271">
        <f>Q93</f>
        <v>0</v>
      </c>
      <c r="F93" s="1259">
        <f>E93-D93</f>
        <v>0</v>
      </c>
      <c r="G93" s="487" t="s">
        <v>321</v>
      </c>
      <c r="H93" s="87"/>
      <c r="I93" s="88"/>
      <c r="J93" s="16"/>
      <c r="K93" s="35"/>
      <c r="L93" s="17"/>
      <c r="M93" s="17"/>
      <c r="N93" s="439"/>
      <c r="O93" s="16"/>
      <c r="P93" s="16" t="s">
        <v>3</v>
      </c>
      <c r="Q93" s="525">
        <f>Q94</f>
        <v>0</v>
      </c>
      <c r="R93" s="405"/>
      <c r="S93" s="285"/>
      <c r="T93" s="285"/>
    </row>
    <row r="94" spans="1:20" ht="24" customHeight="1" thickBot="1">
      <c r="A94" s="1070"/>
      <c r="B94" s="7"/>
      <c r="C94" s="1073"/>
      <c r="D94" s="1272"/>
      <c r="E94" s="1259"/>
      <c r="F94" s="1264"/>
      <c r="G94" s="105" t="s">
        <v>322</v>
      </c>
      <c r="H94" s="540">
        <v>0</v>
      </c>
      <c r="I94" s="54" t="s">
        <v>0</v>
      </c>
      <c r="J94" s="54"/>
      <c r="K94" s="154"/>
      <c r="L94" s="155"/>
      <c r="M94" s="155"/>
      <c r="N94" s="457"/>
      <c r="O94" s="54"/>
      <c r="P94" s="54" t="s">
        <v>3</v>
      </c>
      <c r="Q94" s="511">
        <f>H94</f>
        <v>0</v>
      </c>
      <c r="R94" s="405"/>
      <c r="S94" s="285"/>
      <c r="T94" s="285"/>
    </row>
    <row r="95" spans="1:20" ht="24" customHeight="1">
      <c r="A95" s="1144" t="s">
        <v>77</v>
      </c>
      <c r="B95" s="1135"/>
      <c r="C95" s="1135"/>
      <c r="D95" s="598">
        <f>세입예산서!E113</f>
        <v>0</v>
      </c>
      <c r="E95" s="500">
        <f>E96</f>
        <v>1801387</v>
      </c>
      <c r="F95" s="501">
        <f>E95-D95</f>
        <v>1801387</v>
      </c>
      <c r="G95" s="502"/>
      <c r="H95" s="503"/>
      <c r="I95" s="503"/>
      <c r="J95" s="503"/>
      <c r="K95" s="503"/>
      <c r="L95" s="503"/>
      <c r="M95" s="503"/>
      <c r="N95" s="504"/>
      <c r="O95" s="503"/>
      <c r="P95" s="503"/>
      <c r="Q95" s="505">
        <f>Q96</f>
        <v>1801387</v>
      </c>
      <c r="R95" s="405"/>
      <c r="S95" s="287">
        <f>Q95</f>
        <v>1801387</v>
      </c>
      <c r="T95" s="285"/>
    </row>
    <row r="96" spans="1:20" ht="24" customHeight="1">
      <c r="A96" s="506"/>
      <c r="B96" s="1138" t="s">
        <v>80</v>
      </c>
      <c r="C96" s="1137"/>
      <c r="D96" s="599">
        <f>세입예산서!E114</f>
        <v>0</v>
      </c>
      <c r="E96" s="78">
        <f>E97+E99</f>
        <v>1801387</v>
      </c>
      <c r="F96" s="119">
        <f>E96-D96</f>
        <v>1801387</v>
      </c>
      <c r="G96" s="130"/>
      <c r="H96" s="131"/>
      <c r="I96" s="131"/>
      <c r="J96" s="131"/>
      <c r="K96" s="131"/>
      <c r="L96" s="131"/>
      <c r="M96" s="131"/>
      <c r="N96" s="453"/>
      <c r="O96" s="131"/>
      <c r="P96" s="131"/>
      <c r="Q96" s="507">
        <f>Q97+Q99+Q101</f>
        <v>1801387</v>
      </c>
      <c r="R96" s="405"/>
      <c r="S96" s="285"/>
      <c r="T96" s="285"/>
    </row>
    <row r="97" spans="1:20" ht="24" customHeight="1">
      <c r="A97" s="536"/>
      <c r="B97" s="58"/>
      <c r="C97" s="1118" t="s">
        <v>81</v>
      </c>
      <c r="D97" s="1254">
        <f>세입예산서!E115</f>
        <v>0</v>
      </c>
      <c r="E97" s="1258">
        <f>Q97</f>
        <v>1801387</v>
      </c>
      <c r="F97" s="1259">
        <f>E97-D97</f>
        <v>1801387</v>
      </c>
      <c r="G97" s="106" t="s">
        <v>78</v>
      </c>
      <c r="H97" s="70"/>
      <c r="I97" s="71"/>
      <c r="J97" s="20"/>
      <c r="K97" s="32"/>
      <c r="L97" s="21"/>
      <c r="M97" s="21"/>
      <c r="N97" s="454"/>
      <c r="O97" s="20"/>
      <c r="P97" s="20" t="s">
        <v>3</v>
      </c>
      <c r="Q97" s="509">
        <f>Q98+Q100+Q102</f>
        <v>1801387</v>
      </c>
      <c r="R97" s="405"/>
      <c r="S97" s="285"/>
      <c r="T97" s="285"/>
    </row>
    <row r="98" spans="1:20" ht="24" customHeight="1">
      <c r="A98" s="536"/>
      <c r="B98" s="73"/>
      <c r="C98" s="1057"/>
      <c r="D98" s="1255"/>
      <c r="E98" s="1258"/>
      <c r="F98" s="1260"/>
      <c r="G98" s="116" t="s">
        <v>79</v>
      </c>
      <c r="H98" s="89">
        <v>1801387</v>
      </c>
      <c r="I98" s="84" t="s">
        <v>0</v>
      </c>
      <c r="J98" s="84"/>
      <c r="K98" s="90"/>
      <c r="L98" s="91"/>
      <c r="M98" s="91"/>
      <c r="N98" s="455"/>
      <c r="O98" s="84"/>
      <c r="P98" s="84" t="s">
        <v>3</v>
      </c>
      <c r="Q98" s="538">
        <f>H98</f>
        <v>1801387</v>
      </c>
      <c r="R98" s="405"/>
      <c r="S98" s="285"/>
      <c r="T98" s="285"/>
    </row>
    <row r="99" spans="1:20" ht="24" customHeight="1">
      <c r="A99" s="536"/>
      <c r="B99" s="73"/>
      <c r="C99" s="1056" t="s">
        <v>323</v>
      </c>
      <c r="D99" s="1254">
        <f>세입예산서!E117</f>
        <v>0</v>
      </c>
      <c r="E99" s="1258">
        <f>Q99</f>
        <v>0</v>
      </c>
      <c r="F99" s="1259">
        <f>E99-D99</f>
        <v>0</v>
      </c>
      <c r="G99" s="487" t="s">
        <v>326</v>
      </c>
      <c r="H99" s="87"/>
      <c r="I99" s="88"/>
      <c r="J99" s="16"/>
      <c r="K99" s="35"/>
      <c r="L99" s="17"/>
      <c r="M99" s="17"/>
      <c r="N99" s="439"/>
      <c r="O99" s="16"/>
      <c r="P99" s="16" t="s">
        <v>3</v>
      </c>
      <c r="Q99" s="525">
        <f>Q100</f>
        <v>0</v>
      </c>
      <c r="R99" s="405"/>
      <c r="S99" s="285"/>
      <c r="T99" s="285"/>
    </row>
    <row r="100" spans="1:20" ht="24" customHeight="1">
      <c r="A100" s="537"/>
      <c r="B100" s="59"/>
      <c r="C100" s="1057"/>
      <c r="D100" s="1255"/>
      <c r="E100" s="1258"/>
      <c r="F100" s="1260"/>
      <c r="G100" s="486" t="s">
        <v>327</v>
      </c>
      <c r="H100" s="30">
        <v>0</v>
      </c>
      <c r="I100" s="23" t="s">
        <v>0</v>
      </c>
      <c r="J100" s="23"/>
      <c r="K100" s="34"/>
      <c r="L100" s="24"/>
      <c r="M100" s="24"/>
      <c r="N100" s="449"/>
      <c r="O100" s="23"/>
      <c r="P100" s="23" t="s">
        <v>3</v>
      </c>
      <c r="Q100" s="532">
        <f>H100</f>
        <v>0</v>
      </c>
      <c r="R100" s="405"/>
      <c r="S100" s="285"/>
      <c r="T100" s="285"/>
    </row>
    <row r="101" spans="1:20" ht="24" customHeight="1">
      <c r="A101" s="536"/>
      <c r="B101" s="73"/>
      <c r="C101" s="1056" t="s">
        <v>324</v>
      </c>
      <c r="D101" s="1254">
        <f>세입예산서!E119</f>
        <v>0</v>
      </c>
      <c r="E101" s="1258">
        <f>Q101</f>
        <v>0</v>
      </c>
      <c r="F101" s="1259">
        <f>E101-D101</f>
        <v>0</v>
      </c>
      <c r="G101" s="487" t="s">
        <v>328</v>
      </c>
      <c r="H101" s="87"/>
      <c r="I101" s="88"/>
      <c r="J101" s="16"/>
      <c r="K101" s="35"/>
      <c r="L101" s="17"/>
      <c r="M101" s="17"/>
      <c r="N101" s="439"/>
      <c r="O101" s="16"/>
      <c r="P101" s="16" t="s">
        <v>3</v>
      </c>
      <c r="Q101" s="525">
        <f>Q102</f>
        <v>0</v>
      </c>
      <c r="R101" s="405"/>
      <c r="S101" s="285"/>
      <c r="T101" s="285"/>
    </row>
    <row r="102" spans="1:20" ht="24" customHeight="1" thickBot="1">
      <c r="A102" s="546"/>
      <c r="B102" s="547"/>
      <c r="C102" s="1060"/>
      <c r="D102" s="1267"/>
      <c r="E102" s="1268"/>
      <c r="F102" s="1266"/>
      <c r="G102" s="514" t="s">
        <v>329</v>
      </c>
      <c r="H102" s="515">
        <v>0</v>
      </c>
      <c r="I102" s="372" t="s">
        <v>0</v>
      </c>
      <c r="J102" s="372"/>
      <c r="K102" s="516"/>
      <c r="L102" s="517"/>
      <c r="M102" s="517"/>
      <c r="N102" s="518"/>
      <c r="O102" s="372"/>
      <c r="P102" s="372" t="s">
        <v>3</v>
      </c>
      <c r="Q102" s="519">
        <f>H102</f>
        <v>0</v>
      </c>
      <c r="R102" s="405"/>
      <c r="S102" s="285"/>
      <c r="T102" s="285"/>
    </row>
    <row r="103" spans="1:20" ht="24" customHeight="1">
      <c r="A103" s="1142" t="s">
        <v>82</v>
      </c>
      <c r="B103" s="1143"/>
      <c r="C103" s="1143"/>
      <c r="D103" s="600">
        <f>세입예산서!E121</f>
        <v>1945040</v>
      </c>
      <c r="E103" s="353">
        <f>E104</f>
        <v>5000</v>
      </c>
      <c r="F103" s="541">
        <f>E103-D103</f>
        <v>-1940040</v>
      </c>
      <c r="G103" s="542"/>
      <c r="H103" s="543"/>
      <c r="I103" s="543"/>
      <c r="J103" s="543"/>
      <c r="K103" s="543"/>
      <c r="L103" s="543"/>
      <c r="M103" s="543"/>
      <c r="N103" s="544"/>
      <c r="O103" s="543"/>
      <c r="P103" s="543"/>
      <c r="Q103" s="545">
        <f>Q104</f>
        <v>5000</v>
      </c>
      <c r="R103" s="405"/>
      <c r="S103" s="287">
        <f>Q103</f>
        <v>5000</v>
      </c>
      <c r="T103" s="285"/>
    </row>
    <row r="104" spans="1:20" ht="24" customHeight="1">
      <c r="A104" s="506"/>
      <c r="B104" s="1138" t="s">
        <v>83</v>
      </c>
      <c r="C104" s="1137"/>
      <c r="D104" s="599">
        <f>세입예산서!E122</f>
        <v>1945040</v>
      </c>
      <c r="E104" s="78">
        <f>E105+E107+E111</f>
        <v>5000</v>
      </c>
      <c r="F104" s="119">
        <f>E104-D104</f>
        <v>-1940040</v>
      </c>
      <c r="G104" s="130"/>
      <c r="H104" s="131"/>
      <c r="I104" s="131"/>
      <c r="J104" s="131"/>
      <c r="K104" s="131"/>
      <c r="L104" s="131"/>
      <c r="M104" s="131"/>
      <c r="N104" s="453"/>
      <c r="O104" s="131"/>
      <c r="P104" s="131"/>
      <c r="Q104" s="507">
        <f>Q105+Q107+Q111</f>
        <v>5000</v>
      </c>
      <c r="R104" s="405"/>
      <c r="S104" s="285"/>
      <c r="T104" s="285"/>
    </row>
    <row r="105" spans="1:20" ht="24" customHeight="1">
      <c r="A105" s="508"/>
      <c r="B105" s="75"/>
      <c r="C105" s="1056" t="s">
        <v>332</v>
      </c>
      <c r="D105" s="1254">
        <f>세입예산서!E123</f>
        <v>0</v>
      </c>
      <c r="E105" s="1258">
        <f>Q105</f>
        <v>0</v>
      </c>
      <c r="F105" s="1259">
        <f>E105-D105</f>
        <v>0</v>
      </c>
      <c r="G105" s="106" t="s">
        <v>84</v>
      </c>
      <c r="H105" s="70"/>
      <c r="I105" s="71"/>
      <c r="J105" s="20"/>
      <c r="K105" s="32"/>
      <c r="L105" s="21"/>
      <c r="M105" s="21"/>
      <c r="N105" s="454"/>
      <c r="O105" s="20"/>
      <c r="P105" s="20" t="s">
        <v>3</v>
      </c>
      <c r="Q105" s="509">
        <f>Q106</f>
        <v>0</v>
      </c>
      <c r="R105" s="405"/>
      <c r="S105" s="285"/>
      <c r="T105" s="285"/>
    </row>
    <row r="106" spans="1:20" ht="24" customHeight="1">
      <c r="A106" s="508"/>
      <c r="B106" s="76"/>
      <c r="C106" s="1057"/>
      <c r="D106" s="1255"/>
      <c r="E106" s="1258"/>
      <c r="F106" s="1260"/>
      <c r="G106" s="109" t="s">
        <v>85</v>
      </c>
      <c r="H106" s="151">
        <v>0</v>
      </c>
      <c r="I106" s="12" t="s">
        <v>0</v>
      </c>
      <c r="J106" s="12"/>
      <c r="K106" s="64"/>
      <c r="L106" s="65"/>
      <c r="M106" s="65"/>
      <c r="N106" s="456"/>
      <c r="O106" s="12"/>
      <c r="P106" s="12" t="s">
        <v>3</v>
      </c>
      <c r="Q106" s="510">
        <f>H106</f>
        <v>0</v>
      </c>
      <c r="R106" s="405"/>
      <c r="S106" s="285"/>
      <c r="T106" s="285"/>
    </row>
    <row r="107" spans="1:20" ht="24" customHeight="1">
      <c r="A107" s="508"/>
      <c r="B107" s="76"/>
      <c r="C107" s="1056" t="s">
        <v>124</v>
      </c>
      <c r="D107" s="1256">
        <f>세입예산서!E125</f>
        <v>0</v>
      </c>
      <c r="E107" s="1258">
        <f>Q107</f>
        <v>5000</v>
      </c>
      <c r="F107" s="1259">
        <f>E107-D107</f>
        <v>5000</v>
      </c>
      <c r="G107" s="140" t="s">
        <v>130</v>
      </c>
      <c r="H107" s="152"/>
      <c r="I107" s="153"/>
      <c r="J107" s="54"/>
      <c r="K107" s="154"/>
      <c r="L107" s="155"/>
      <c r="M107" s="155"/>
      <c r="N107" s="457"/>
      <c r="O107" s="54"/>
      <c r="P107" s="54" t="s">
        <v>3</v>
      </c>
      <c r="Q107" s="511">
        <f>Q108</f>
        <v>5000</v>
      </c>
      <c r="R107" s="405"/>
      <c r="S107" s="285"/>
      <c r="T107" s="285"/>
    </row>
    <row r="108" spans="1:20" ht="24" customHeight="1">
      <c r="A108" s="508"/>
      <c r="B108" s="14"/>
      <c r="C108" s="1057"/>
      <c r="D108" s="1257"/>
      <c r="E108" s="1258"/>
      <c r="F108" s="1260"/>
      <c r="G108" s="108" t="s">
        <v>131</v>
      </c>
      <c r="H108" s="30">
        <v>5000</v>
      </c>
      <c r="I108" s="23" t="s">
        <v>0</v>
      </c>
      <c r="J108" s="23"/>
      <c r="K108" s="34"/>
      <c r="L108" s="24"/>
      <c r="M108" s="24"/>
      <c r="N108" s="449"/>
      <c r="O108" s="23"/>
      <c r="P108" s="23" t="s">
        <v>3</v>
      </c>
      <c r="Q108" s="532">
        <f>H108</f>
        <v>5000</v>
      </c>
      <c r="R108" s="405"/>
      <c r="S108" s="285"/>
      <c r="T108" s="285"/>
    </row>
    <row r="109" spans="1:20" ht="24" customHeight="1">
      <c r="A109" s="508"/>
      <c r="B109" s="76"/>
      <c r="C109" s="1056" t="s">
        <v>325</v>
      </c>
      <c r="D109" s="1256">
        <f>세입예산서!E127</f>
        <v>1680000</v>
      </c>
      <c r="E109" s="1258">
        <f>Q109</f>
        <v>0</v>
      </c>
      <c r="F109" s="1259">
        <f>E109-D109</f>
        <v>-1680000</v>
      </c>
      <c r="G109" s="105" t="s">
        <v>330</v>
      </c>
      <c r="H109" s="152"/>
      <c r="I109" s="153"/>
      <c r="J109" s="54"/>
      <c r="K109" s="154"/>
      <c r="L109" s="155"/>
      <c r="M109" s="155"/>
      <c r="N109" s="457"/>
      <c r="O109" s="54"/>
      <c r="P109" s="54" t="s">
        <v>3</v>
      </c>
      <c r="Q109" s="511">
        <f>Q110</f>
        <v>0</v>
      </c>
      <c r="R109" s="405"/>
      <c r="S109" s="285"/>
      <c r="T109" s="285"/>
    </row>
    <row r="110" spans="1:20" ht="24" customHeight="1">
      <c r="A110" s="508"/>
      <c r="B110" s="14"/>
      <c r="C110" s="1057"/>
      <c r="D110" s="1257"/>
      <c r="E110" s="1258"/>
      <c r="F110" s="1260"/>
      <c r="G110" s="486" t="s">
        <v>331</v>
      </c>
      <c r="H110" s="30">
        <v>0</v>
      </c>
      <c r="I110" s="23" t="s">
        <v>0</v>
      </c>
      <c r="J110" s="23"/>
      <c r="K110" s="34"/>
      <c r="L110" s="24"/>
      <c r="M110" s="24"/>
      <c r="N110" s="449"/>
      <c r="O110" s="23"/>
      <c r="P110" s="23" t="s">
        <v>3</v>
      </c>
      <c r="Q110" s="532">
        <f>H110</f>
        <v>0</v>
      </c>
      <c r="R110" s="405"/>
      <c r="S110" s="285"/>
      <c r="T110" s="285"/>
    </row>
    <row r="111" spans="1:20" ht="24" customHeight="1">
      <c r="A111" s="539"/>
      <c r="B111" s="77"/>
      <c r="C111" s="1118" t="s">
        <v>86</v>
      </c>
      <c r="D111" s="1254">
        <f>세입예산서!E129</f>
        <v>265040</v>
      </c>
      <c r="E111" s="1258">
        <f>Q111</f>
        <v>0</v>
      </c>
      <c r="F111" s="1259">
        <f>E111-D111</f>
        <v>-265040</v>
      </c>
      <c r="G111" s="106" t="s">
        <v>87</v>
      </c>
      <c r="H111" s="70"/>
      <c r="I111" s="71"/>
      <c r="J111" s="20"/>
      <c r="K111" s="32"/>
      <c r="L111" s="21"/>
      <c r="M111" s="21"/>
      <c r="N111" s="454"/>
      <c r="O111" s="20"/>
      <c r="P111" s="20" t="s">
        <v>3</v>
      </c>
      <c r="Q111" s="509">
        <f>Q112</f>
        <v>0</v>
      </c>
      <c r="R111" s="405"/>
      <c r="S111" s="285"/>
      <c r="T111" s="285"/>
    </row>
    <row r="112" spans="1:20" ht="24" customHeight="1" thickBot="1">
      <c r="A112" s="539"/>
      <c r="B112" s="77"/>
      <c r="C112" s="1119"/>
      <c r="D112" s="1262"/>
      <c r="E112" s="1263"/>
      <c r="F112" s="1264"/>
      <c r="G112" s="109" t="s">
        <v>88</v>
      </c>
      <c r="H112" s="151">
        <v>0</v>
      </c>
      <c r="I112" s="12" t="s">
        <v>0</v>
      </c>
      <c r="J112" s="12"/>
      <c r="K112" s="64"/>
      <c r="L112" s="65"/>
      <c r="M112" s="65"/>
      <c r="N112" s="456"/>
      <c r="O112" s="12"/>
      <c r="P112" s="12" t="s">
        <v>3</v>
      </c>
      <c r="Q112" s="510">
        <f>H112</f>
        <v>0</v>
      </c>
      <c r="R112" s="405"/>
      <c r="S112" s="285"/>
      <c r="T112" s="285"/>
    </row>
    <row r="113" spans="1:20" ht="24" customHeight="1">
      <c r="A113" s="1134" t="s">
        <v>299</v>
      </c>
      <c r="B113" s="1135"/>
      <c r="C113" s="1135"/>
      <c r="D113" s="598">
        <f>세입예산서!E132</f>
        <v>0</v>
      </c>
      <c r="E113" s="500">
        <f>E114</f>
        <v>0</v>
      </c>
      <c r="F113" s="501">
        <f>E113-D113</f>
        <v>0</v>
      </c>
      <c r="G113" s="502"/>
      <c r="H113" s="503"/>
      <c r="I113" s="503"/>
      <c r="J113" s="503"/>
      <c r="K113" s="503"/>
      <c r="L113" s="503"/>
      <c r="M113" s="503"/>
      <c r="N113" s="504"/>
      <c r="O113" s="503"/>
      <c r="P113" s="503"/>
      <c r="Q113" s="505">
        <f>Q114</f>
        <v>0</v>
      </c>
      <c r="R113" s="405"/>
      <c r="S113" s="287">
        <f>Q113</f>
        <v>0</v>
      </c>
      <c r="T113" s="285"/>
    </row>
    <row r="114" spans="1:20" ht="24" customHeight="1">
      <c r="A114" s="506"/>
      <c r="B114" s="1136" t="s">
        <v>300</v>
      </c>
      <c r="C114" s="1137"/>
      <c r="D114" s="599">
        <f>세입예산서!E133</f>
        <v>0</v>
      </c>
      <c r="E114" s="78">
        <f>E115+E117</f>
        <v>0</v>
      </c>
      <c r="F114" s="119">
        <f>E114-D114</f>
        <v>0</v>
      </c>
      <c r="G114" s="130"/>
      <c r="H114" s="131"/>
      <c r="I114" s="131"/>
      <c r="J114" s="131"/>
      <c r="K114" s="131"/>
      <c r="L114" s="131"/>
      <c r="M114" s="131"/>
      <c r="N114" s="453"/>
      <c r="O114" s="131"/>
      <c r="P114" s="131"/>
      <c r="Q114" s="507">
        <f>Q115+Q117</f>
        <v>0</v>
      </c>
      <c r="R114" s="405"/>
      <c r="S114" s="285"/>
      <c r="T114" s="285"/>
    </row>
    <row r="115" spans="1:20" ht="24" customHeight="1">
      <c r="A115" s="508"/>
      <c r="B115" s="75"/>
      <c r="C115" s="1056" t="s">
        <v>301</v>
      </c>
      <c r="D115" s="1254">
        <f>세입예산서!E134</f>
        <v>0</v>
      </c>
      <c r="E115" s="1258">
        <f>Q115</f>
        <v>0</v>
      </c>
      <c r="F115" s="1259">
        <f>E115-D115</f>
        <v>0</v>
      </c>
      <c r="G115" s="112" t="s">
        <v>303</v>
      </c>
      <c r="H115" s="70"/>
      <c r="I115" s="71"/>
      <c r="J115" s="20"/>
      <c r="K115" s="32"/>
      <c r="L115" s="21"/>
      <c r="M115" s="21"/>
      <c r="N115" s="454"/>
      <c r="O115" s="20"/>
      <c r="P115" s="20" t="s">
        <v>3</v>
      </c>
      <c r="Q115" s="509">
        <f>Q116</f>
        <v>0</v>
      </c>
      <c r="R115" s="405"/>
      <c r="S115" s="285"/>
      <c r="T115" s="285"/>
    </row>
    <row r="116" spans="1:20" ht="24" customHeight="1">
      <c r="A116" s="508"/>
      <c r="B116" s="76"/>
      <c r="C116" s="1057"/>
      <c r="D116" s="1255"/>
      <c r="E116" s="1258"/>
      <c r="F116" s="1260"/>
      <c r="G116" s="485" t="s">
        <v>304</v>
      </c>
      <c r="H116" s="151">
        <v>0</v>
      </c>
      <c r="I116" s="12" t="s">
        <v>0</v>
      </c>
      <c r="J116" s="12"/>
      <c r="K116" s="64"/>
      <c r="L116" s="65"/>
      <c r="M116" s="65"/>
      <c r="N116" s="456"/>
      <c r="O116" s="12"/>
      <c r="P116" s="12" t="s">
        <v>3</v>
      </c>
      <c r="Q116" s="510">
        <f>H116</f>
        <v>0</v>
      </c>
      <c r="R116" s="405"/>
      <c r="S116" s="285"/>
      <c r="T116" s="285"/>
    </row>
    <row r="117" spans="1:20" ht="24" customHeight="1">
      <c r="A117" s="508"/>
      <c r="B117" s="76"/>
      <c r="C117" s="1056" t="s">
        <v>302</v>
      </c>
      <c r="D117" s="1256">
        <f>세입예산서!E136</f>
        <v>0</v>
      </c>
      <c r="E117" s="1263">
        <f>Q117</f>
        <v>0</v>
      </c>
      <c r="F117" s="1259">
        <f>E117-D117</f>
        <v>0</v>
      </c>
      <c r="G117" s="105" t="s">
        <v>305</v>
      </c>
      <c r="H117" s="152"/>
      <c r="I117" s="153"/>
      <c r="J117" s="54"/>
      <c r="K117" s="154"/>
      <c r="L117" s="155"/>
      <c r="M117" s="155"/>
      <c r="N117" s="457"/>
      <c r="O117" s="54"/>
      <c r="P117" s="54" t="s">
        <v>3</v>
      </c>
      <c r="Q117" s="511">
        <f>Q118</f>
        <v>0</v>
      </c>
      <c r="R117" s="405"/>
      <c r="S117" s="285"/>
      <c r="T117" s="285"/>
    </row>
    <row r="118" spans="1:20" ht="24" customHeight="1" thickBot="1">
      <c r="A118" s="512"/>
      <c r="B118" s="513"/>
      <c r="C118" s="1129"/>
      <c r="D118" s="1261"/>
      <c r="E118" s="1265"/>
      <c r="F118" s="1266"/>
      <c r="G118" s="514" t="s">
        <v>306</v>
      </c>
      <c r="H118" s="515">
        <v>0</v>
      </c>
      <c r="I118" s="372" t="s">
        <v>0</v>
      </c>
      <c r="J118" s="372"/>
      <c r="K118" s="516"/>
      <c r="L118" s="517"/>
      <c r="M118" s="517"/>
      <c r="N118" s="518"/>
      <c r="O118" s="372"/>
      <c r="P118" s="372" t="s">
        <v>3</v>
      </c>
      <c r="Q118" s="519">
        <f>H118</f>
        <v>0</v>
      </c>
      <c r="R118" s="405"/>
      <c r="S118" s="285"/>
      <c r="T118" s="285"/>
    </row>
    <row r="119" spans="1:20" ht="23.25" customHeight="1">
      <c r="E119" s="2"/>
      <c r="I119" s="2"/>
      <c r="J119" s="2"/>
      <c r="K119" s="2"/>
      <c r="O119" s="1158"/>
      <c r="P119" s="1158"/>
      <c r="Q119" s="1158"/>
      <c r="R119" s="290">
        <f>SUM(R5:R118)</f>
        <v>314766121.60000002</v>
      </c>
      <c r="S119" s="290">
        <f>SUM(S5:S118)</f>
        <v>86097297</v>
      </c>
      <c r="T119" s="290">
        <f>SUM(T4:T112)</f>
        <v>0</v>
      </c>
    </row>
    <row r="120" spans="1:20" ht="33" customHeight="1">
      <c r="E120" s="2"/>
      <c r="I120" s="2"/>
      <c r="J120" s="2"/>
      <c r="K120" s="2"/>
      <c r="Q120" s="2"/>
      <c r="R120" s="1108">
        <f>SUM(R119:T119)</f>
        <v>400863418.60000002</v>
      </c>
      <c r="S120" s="1109"/>
      <c r="T120" s="1109"/>
    </row>
    <row r="121" spans="1:20" ht="15" customHeight="1">
      <c r="E121" s="2"/>
      <c r="I121" s="2"/>
      <c r="J121" s="2"/>
      <c r="K121" s="2"/>
      <c r="Q121" s="2"/>
    </row>
    <row r="122" spans="1:20" ht="15" customHeight="1">
      <c r="E122" s="2"/>
      <c r="I122" s="2"/>
      <c r="J122" s="2"/>
      <c r="K122" s="2"/>
      <c r="Q122" s="2"/>
    </row>
    <row r="123" spans="1:20" ht="15" customHeight="1">
      <c r="E123" s="2"/>
      <c r="I123" s="2"/>
      <c r="J123" s="2"/>
      <c r="K123" s="2"/>
      <c r="Q123" s="2"/>
    </row>
    <row r="124" spans="1:20" ht="15" customHeight="1">
      <c r="E124" s="2"/>
      <c r="I124" s="2"/>
      <c r="J124" s="2"/>
      <c r="K124" s="2"/>
      <c r="Q124" s="2"/>
    </row>
    <row r="125" spans="1:20" ht="15" customHeight="1">
      <c r="E125" s="2"/>
      <c r="I125" s="2"/>
      <c r="J125" s="2"/>
      <c r="K125" s="2"/>
      <c r="Q125" s="2"/>
    </row>
    <row r="126" spans="1:20" ht="15" customHeight="1">
      <c r="E126" s="2"/>
      <c r="I126" s="2"/>
      <c r="J126" s="2"/>
      <c r="K126" s="2"/>
      <c r="Q126" s="2"/>
    </row>
    <row r="127" spans="1:20" ht="15" customHeight="1">
      <c r="E127" s="2"/>
      <c r="I127" s="2"/>
      <c r="J127" s="2"/>
      <c r="K127" s="2"/>
      <c r="Q127" s="2"/>
    </row>
    <row r="128" spans="1:20" ht="15" customHeight="1">
      <c r="E128" s="2"/>
      <c r="I128" s="2"/>
      <c r="J128" s="2"/>
      <c r="K128" s="2"/>
      <c r="Q128" s="2"/>
    </row>
    <row r="129" spans="5:17" ht="15" customHeight="1">
      <c r="E129" s="2"/>
      <c r="I129" s="2"/>
      <c r="J129" s="2"/>
      <c r="K129" s="2"/>
      <c r="Q129" s="2"/>
    </row>
    <row r="130" spans="5:17" ht="15" customHeight="1">
      <c r="E130" s="2"/>
      <c r="I130" s="2"/>
      <c r="J130" s="2"/>
      <c r="K130" s="2"/>
      <c r="Q130" s="2"/>
    </row>
    <row r="131" spans="5:17" ht="15" customHeight="1">
      <c r="E131" s="2"/>
      <c r="I131" s="2"/>
      <c r="J131" s="2"/>
      <c r="K131" s="2"/>
      <c r="Q131" s="2"/>
    </row>
    <row r="132" spans="5:17" ht="15" customHeight="1">
      <c r="E132" s="2"/>
      <c r="I132" s="2"/>
      <c r="J132" s="2"/>
      <c r="K132" s="2"/>
      <c r="Q132" s="2"/>
    </row>
    <row r="133" spans="5:17" ht="15" customHeight="1">
      <c r="E133" s="2"/>
      <c r="I133" s="2"/>
      <c r="J133" s="2"/>
      <c r="K133" s="2"/>
      <c r="Q133" s="2"/>
    </row>
    <row r="134" spans="5:17" ht="15" customHeight="1">
      <c r="E134" s="2"/>
      <c r="I134" s="2"/>
      <c r="J134" s="2"/>
      <c r="K134" s="2"/>
      <c r="Q134" s="2"/>
    </row>
    <row r="135" spans="5:17" ht="15" customHeight="1">
      <c r="E135" s="2"/>
      <c r="I135" s="2"/>
      <c r="J135" s="2"/>
      <c r="K135" s="2"/>
      <c r="Q135" s="2"/>
    </row>
    <row r="136" spans="5:17" ht="15" customHeight="1">
      <c r="E136" s="2"/>
      <c r="I136" s="2"/>
      <c r="J136" s="2"/>
      <c r="K136" s="2"/>
      <c r="Q136" s="2"/>
    </row>
    <row r="137" spans="5:17" ht="15" customHeight="1">
      <c r="E137" s="2"/>
      <c r="I137" s="2"/>
      <c r="J137" s="2"/>
      <c r="K137" s="2"/>
      <c r="Q137" s="2"/>
    </row>
    <row r="138" spans="5:17" ht="15" customHeight="1">
      <c r="E138" s="2"/>
      <c r="I138" s="2"/>
      <c r="J138" s="2"/>
      <c r="K138" s="2"/>
      <c r="Q138" s="2"/>
    </row>
    <row r="139" spans="5:17" ht="15" customHeight="1">
      <c r="E139" s="2"/>
      <c r="I139" s="2"/>
      <c r="J139" s="2"/>
      <c r="K139" s="2"/>
      <c r="Q139" s="2"/>
    </row>
    <row r="140" spans="5:17" ht="15" customHeight="1">
      <c r="E140" s="2"/>
      <c r="I140" s="2"/>
      <c r="J140" s="2"/>
      <c r="K140" s="2"/>
      <c r="Q140" s="2"/>
    </row>
    <row r="141" spans="5:17" ht="15" customHeight="1">
      <c r="E141" s="2"/>
      <c r="I141" s="2"/>
      <c r="J141" s="2"/>
      <c r="K141" s="2"/>
      <c r="Q141" s="2"/>
    </row>
    <row r="142" spans="5:17" ht="15" customHeight="1">
      <c r="E142" s="2"/>
      <c r="I142" s="2"/>
      <c r="J142" s="2"/>
      <c r="K142" s="2"/>
      <c r="Q142" s="2"/>
    </row>
    <row r="143" spans="5:17" ht="15" customHeight="1">
      <c r="E143" s="2"/>
      <c r="I143" s="2"/>
      <c r="J143" s="2"/>
      <c r="K143" s="2"/>
      <c r="Q143" s="2"/>
    </row>
    <row r="144" spans="5:17" ht="15" customHeight="1">
      <c r="E144" s="2"/>
      <c r="I144" s="2"/>
      <c r="J144" s="2"/>
      <c r="K144" s="2"/>
      <c r="Q144" s="2"/>
    </row>
    <row r="145" spans="5:17" ht="15" customHeight="1">
      <c r="E145" s="2"/>
      <c r="I145" s="2"/>
      <c r="J145" s="2"/>
      <c r="K145" s="2"/>
      <c r="Q145" s="2"/>
    </row>
    <row r="146" spans="5:17" ht="15" customHeight="1">
      <c r="E146" s="2"/>
      <c r="I146" s="2"/>
      <c r="J146" s="2"/>
      <c r="K146" s="2"/>
      <c r="Q146" s="2"/>
    </row>
    <row r="147" spans="5:17" ht="15" customHeight="1">
      <c r="E147" s="2"/>
      <c r="I147" s="2"/>
      <c r="J147" s="2"/>
      <c r="K147" s="2"/>
      <c r="Q147" s="2"/>
    </row>
    <row r="148" spans="5:17" ht="15" customHeight="1">
      <c r="E148" s="2"/>
      <c r="I148" s="2"/>
      <c r="J148" s="2"/>
      <c r="K148" s="2"/>
      <c r="Q148" s="2"/>
    </row>
    <row r="149" spans="5:17" ht="15" customHeight="1">
      <c r="E149" s="2"/>
      <c r="I149" s="2"/>
      <c r="J149" s="2"/>
      <c r="K149" s="2"/>
      <c r="Q149" s="2"/>
    </row>
    <row r="150" spans="5:17" ht="15" customHeight="1">
      <c r="E150" s="2"/>
      <c r="I150" s="2"/>
      <c r="J150" s="2"/>
      <c r="K150" s="2"/>
      <c r="Q150" s="2"/>
    </row>
    <row r="151" spans="5:17" ht="15" customHeight="1">
      <c r="E151" s="2"/>
      <c r="I151" s="2"/>
      <c r="J151" s="2"/>
      <c r="K151" s="2"/>
      <c r="Q151" s="2"/>
    </row>
    <row r="152" spans="5:17" ht="15" customHeight="1">
      <c r="E152" s="2"/>
      <c r="I152" s="2"/>
      <c r="J152" s="2"/>
      <c r="K152" s="2"/>
      <c r="Q152" s="2"/>
    </row>
    <row r="153" spans="5:17" ht="15" customHeight="1">
      <c r="E153" s="2"/>
      <c r="I153" s="2"/>
      <c r="J153" s="2"/>
      <c r="K153" s="2"/>
      <c r="Q153" s="2"/>
    </row>
    <row r="154" spans="5:17" ht="15" customHeight="1">
      <c r="E154" s="2"/>
      <c r="I154" s="2"/>
      <c r="J154" s="2"/>
      <c r="K154" s="2"/>
      <c r="Q154" s="2"/>
    </row>
    <row r="155" spans="5:17" ht="15" customHeight="1">
      <c r="E155" s="2"/>
      <c r="I155" s="2"/>
      <c r="J155" s="2"/>
      <c r="K155" s="2"/>
      <c r="Q155" s="2"/>
    </row>
    <row r="156" spans="5:17" ht="15" customHeight="1">
      <c r="E156" s="2"/>
      <c r="I156" s="2"/>
      <c r="J156" s="2"/>
      <c r="K156" s="2"/>
      <c r="Q156" s="2"/>
    </row>
    <row r="157" spans="5:17" ht="15" customHeight="1">
      <c r="E157" s="2"/>
      <c r="I157" s="2"/>
      <c r="J157" s="2"/>
      <c r="K157" s="2"/>
      <c r="Q157" s="2"/>
    </row>
    <row r="158" spans="5:17" ht="15" customHeight="1">
      <c r="E158" s="2"/>
      <c r="I158" s="2"/>
      <c r="J158" s="2"/>
      <c r="K158" s="2"/>
      <c r="Q158" s="2"/>
    </row>
    <row r="159" spans="5:17" ht="15" customHeight="1">
      <c r="E159" s="2"/>
      <c r="I159" s="2"/>
      <c r="J159" s="2"/>
      <c r="K159" s="2"/>
      <c r="Q159" s="2"/>
    </row>
    <row r="160" spans="5:17" ht="15" customHeight="1">
      <c r="E160" s="2"/>
      <c r="I160" s="2"/>
      <c r="J160" s="2"/>
      <c r="K160" s="2"/>
      <c r="Q160" s="2"/>
    </row>
    <row r="161" spans="5:17" ht="15" customHeight="1">
      <c r="E161" s="2"/>
      <c r="I161" s="2"/>
      <c r="J161" s="2"/>
      <c r="K161" s="2"/>
      <c r="Q161" s="2"/>
    </row>
    <row r="162" spans="5:17" ht="15" customHeight="1">
      <c r="E162" s="2"/>
      <c r="I162" s="2"/>
      <c r="J162" s="2"/>
      <c r="K162" s="2"/>
      <c r="Q162" s="2"/>
    </row>
    <row r="163" spans="5:17" ht="15" customHeight="1">
      <c r="E163" s="2"/>
      <c r="I163" s="2"/>
      <c r="J163" s="2"/>
      <c r="K163" s="2"/>
      <c r="Q163" s="2"/>
    </row>
    <row r="164" spans="5:17" ht="15" customHeight="1">
      <c r="E164" s="2"/>
      <c r="I164" s="2"/>
      <c r="J164" s="2"/>
      <c r="K164" s="2"/>
      <c r="Q164" s="2"/>
    </row>
    <row r="165" spans="5:17" ht="15" customHeight="1">
      <c r="E165" s="2"/>
      <c r="I165" s="2"/>
      <c r="J165" s="2"/>
      <c r="K165" s="2"/>
      <c r="Q165" s="2"/>
    </row>
    <row r="166" spans="5:17" ht="15" customHeight="1">
      <c r="E166" s="2"/>
      <c r="I166" s="2"/>
      <c r="J166" s="2"/>
      <c r="K166" s="2"/>
      <c r="Q166" s="2"/>
    </row>
    <row r="167" spans="5:17" ht="15" customHeight="1">
      <c r="E167" s="2"/>
      <c r="I167" s="2"/>
      <c r="J167" s="2"/>
      <c r="K167" s="2"/>
      <c r="Q167" s="2"/>
    </row>
    <row r="168" spans="5:17" ht="15" customHeight="1">
      <c r="E168" s="2"/>
      <c r="I168" s="2"/>
      <c r="J168" s="2"/>
      <c r="K168" s="2"/>
      <c r="Q168" s="2"/>
    </row>
    <row r="169" spans="5:17" ht="15" customHeight="1">
      <c r="E169" s="2"/>
      <c r="I169" s="2"/>
      <c r="J169" s="2"/>
      <c r="K169" s="2"/>
      <c r="Q169" s="2"/>
    </row>
    <row r="170" spans="5:17" ht="15" customHeight="1">
      <c r="E170" s="2"/>
      <c r="I170" s="2"/>
      <c r="J170" s="2"/>
      <c r="K170" s="2"/>
      <c r="Q170" s="2"/>
    </row>
    <row r="171" spans="5:17" ht="15" customHeight="1">
      <c r="E171" s="2"/>
      <c r="I171" s="2"/>
      <c r="J171" s="2"/>
      <c r="K171" s="2"/>
      <c r="Q171" s="2"/>
    </row>
    <row r="172" spans="5:17" ht="15" customHeight="1">
      <c r="E172" s="2"/>
      <c r="I172" s="2"/>
      <c r="J172" s="2"/>
      <c r="K172" s="2"/>
      <c r="Q172" s="2"/>
    </row>
    <row r="173" spans="5:17" ht="15" customHeight="1">
      <c r="E173" s="2"/>
      <c r="I173" s="2"/>
      <c r="J173" s="2"/>
      <c r="K173" s="2"/>
      <c r="Q173" s="2"/>
    </row>
    <row r="174" spans="5:17" ht="15" customHeight="1">
      <c r="E174" s="2"/>
      <c r="I174" s="2"/>
      <c r="J174" s="2"/>
      <c r="K174" s="2"/>
      <c r="Q174" s="2"/>
    </row>
    <row r="175" spans="5:17" ht="15" customHeight="1">
      <c r="E175" s="2"/>
      <c r="I175" s="2"/>
      <c r="J175" s="2"/>
      <c r="K175" s="2"/>
      <c r="Q175" s="2"/>
    </row>
    <row r="176" spans="5:17" ht="15" customHeight="1">
      <c r="E176" s="2"/>
      <c r="I176" s="2"/>
      <c r="J176" s="2"/>
      <c r="K176" s="2"/>
      <c r="Q176" s="2"/>
    </row>
    <row r="177" spans="5:17" ht="15" customHeight="1">
      <c r="E177" s="2"/>
      <c r="I177" s="2"/>
      <c r="J177" s="2"/>
      <c r="K177" s="2"/>
      <c r="Q177" s="2"/>
    </row>
    <row r="178" spans="5:17" ht="15" customHeight="1">
      <c r="E178" s="2"/>
      <c r="I178" s="2"/>
      <c r="J178" s="2"/>
      <c r="K178" s="2"/>
      <c r="Q178" s="2"/>
    </row>
    <row r="179" spans="5:17" ht="15" customHeight="1">
      <c r="E179" s="2"/>
      <c r="I179" s="2"/>
      <c r="J179" s="2"/>
      <c r="K179" s="2"/>
      <c r="Q179" s="2"/>
    </row>
    <row r="180" spans="5:17" ht="15" customHeight="1">
      <c r="E180" s="2"/>
      <c r="I180" s="2"/>
      <c r="J180" s="2"/>
      <c r="K180" s="2"/>
      <c r="Q180" s="2"/>
    </row>
    <row r="181" spans="5:17" ht="15" customHeight="1">
      <c r="E181" s="2"/>
      <c r="I181" s="2"/>
      <c r="J181" s="2"/>
      <c r="K181" s="2"/>
      <c r="Q181" s="2"/>
    </row>
    <row r="182" spans="5:17" ht="15" customHeight="1">
      <c r="E182" s="2"/>
      <c r="I182" s="2"/>
      <c r="J182" s="2"/>
      <c r="K182" s="2"/>
      <c r="Q182" s="2"/>
    </row>
    <row r="183" spans="5:17" ht="15" customHeight="1">
      <c r="E183" s="2"/>
      <c r="I183" s="2"/>
      <c r="J183" s="2"/>
      <c r="K183" s="2"/>
      <c r="Q183" s="2"/>
    </row>
    <row r="184" spans="5:17" ht="15" customHeight="1">
      <c r="E184" s="2"/>
      <c r="I184" s="2"/>
      <c r="J184" s="2"/>
      <c r="K184" s="2"/>
      <c r="Q184" s="2"/>
    </row>
    <row r="185" spans="5:17" ht="15" customHeight="1">
      <c r="E185" s="2"/>
      <c r="I185" s="2"/>
      <c r="J185" s="2"/>
      <c r="K185" s="2"/>
      <c r="Q185" s="2"/>
    </row>
    <row r="186" spans="5:17" ht="15" customHeight="1">
      <c r="E186" s="2"/>
      <c r="I186" s="2"/>
      <c r="J186" s="2"/>
      <c r="K186" s="2"/>
      <c r="Q186" s="2"/>
    </row>
    <row r="187" spans="5:17" ht="15" customHeight="1">
      <c r="E187" s="2"/>
      <c r="I187" s="2"/>
      <c r="J187" s="2"/>
      <c r="K187" s="2"/>
      <c r="Q187" s="2"/>
    </row>
    <row r="188" spans="5:17" ht="15" customHeight="1">
      <c r="E188" s="2"/>
      <c r="I188" s="2"/>
      <c r="J188" s="2"/>
      <c r="K188" s="2"/>
      <c r="Q188" s="2"/>
    </row>
    <row r="189" spans="5:17" ht="15" customHeight="1">
      <c r="E189" s="2"/>
      <c r="I189" s="2"/>
      <c r="J189" s="2"/>
      <c r="K189" s="2"/>
      <c r="Q189" s="2"/>
    </row>
    <row r="190" spans="5:17" ht="15" customHeight="1">
      <c r="E190" s="2"/>
      <c r="I190" s="2"/>
      <c r="J190" s="2"/>
      <c r="K190" s="2"/>
      <c r="Q190" s="2"/>
    </row>
    <row r="191" spans="5:17" ht="15" customHeight="1">
      <c r="E191" s="2"/>
      <c r="I191" s="2"/>
      <c r="J191" s="2"/>
      <c r="K191" s="2"/>
      <c r="Q191" s="2"/>
    </row>
    <row r="192" spans="5:17" ht="15" customHeight="1">
      <c r="E192" s="2"/>
      <c r="I192" s="2"/>
      <c r="J192" s="2"/>
      <c r="K192" s="2"/>
      <c r="Q192" s="2"/>
    </row>
    <row r="193" spans="5:17" ht="15" customHeight="1">
      <c r="E193" s="2"/>
      <c r="I193" s="2"/>
      <c r="J193" s="2"/>
      <c r="K193" s="2"/>
      <c r="Q193" s="2"/>
    </row>
    <row r="194" spans="5:17" ht="15" customHeight="1">
      <c r="E194" s="2"/>
      <c r="I194" s="2"/>
      <c r="J194" s="2"/>
      <c r="K194" s="2"/>
      <c r="Q194" s="2"/>
    </row>
    <row r="195" spans="5:17" ht="15" customHeight="1">
      <c r="E195" s="2"/>
      <c r="I195" s="2"/>
      <c r="J195" s="2"/>
      <c r="K195" s="2"/>
      <c r="Q195" s="2"/>
    </row>
    <row r="196" spans="5:17" ht="15" customHeight="1">
      <c r="E196" s="2"/>
      <c r="I196" s="2"/>
      <c r="J196" s="2"/>
      <c r="K196" s="2"/>
      <c r="Q196" s="2"/>
    </row>
    <row r="197" spans="5:17" ht="15" customHeight="1">
      <c r="E197" s="2"/>
      <c r="I197" s="2"/>
      <c r="J197" s="2"/>
      <c r="K197" s="2"/>
      <c r="Q197" s="2"/>
    </row>
    <row r="198" spans="5:17" ht="15" customHeight="1">
      <c r="E198" s="2"/>
      <c r="I198" s="2"/>
      <c r="J198" s="2"/>
      <c r="K198" s="2"/>
      <c r="Q198" s="2"/>
    </row>
    <row r="199" spans="5:17" ht="15" customHeight="1">
      <c r="E199" s="2"/>
      <c r="I199" s="2"/>
      <c r="J199" s="2"/>
      <c r="K199" s="2"/>
      <c r="Q199" s="2"/>
    </row>
    <row r="200" spans="5:17" ht="15" customHeight="1">
      <c r="E200" s="2"/>
      <c r="I200" s="2"/>
      <c r="J200" s="2"/>
      <c r="K200" s="2"/>
      <c r="Q200" s="2"/>
    </row>
    <row r="201" spans="5:17" ht="15" customHeight="1">
      <c r="E201" s="2"/>
      <c r="I201" s="2"/>
      <c r="J201" s="2"/>
      <c r="K201" s="2"/>
      <c r="Q201" s="2"/>
    </row>
    <row r="202" spans="5:17" ht="15" customHeight="1">
      <c r="E202" s="2"/>
      <c r="I202" s="2"/>
      <c r="J202" s="2"/>
      <c r="K202" s="2"/>
      <c r="Q202" s="2"/>
    </row>
    <row r="203" spans="5:17" ht="15" customHeight="1">
      <c r="E203" s="2"/>
      <c r="I203" s="2"/>
      <c r="J203" s="2"/>
      <c r="K203" s="2"/>
      <c r="Q203" s="2"/>
    </row>
    <row r="204" spans="5:17" ht="15" customHeight="1">
      <c r="E204" s="2"/>
      <c r="I204" s="2"/>
      <c r="J204" s="2"/>
      <c r="K204" s="2"/>
      <c r="Q204" s="2"/>
    </row>
    <row r="205" spans="5:17" ht="15" customHeight="1">
      <c r="E205" s="2"/>
      <c r="I205" s="2"/>
      <c r="J205" s="2"/>
      <c r="K205" s="2"/>
      <c r="Q205" s="2"/>
    </row>
    <row r="206" spans="5:17" ht="15" customHeight="1">
      <c r="E206" s="2"/>
      <c r="I206" s="2"/>
      <c r="J206" s="2"/>
      <c r="K206" s="2"/>
      <c r="Q206" s="2"/>
    </row>
    <row r="207" spans="5:17" ht="15" customHeight="1">
      <c r="E207" s="2"/>
      <c r="I207" s="2"/>
      <c r="J207" s="2"/>
      <c r="K207" s="2"/>
      <c r="Q207" s="2"/>
    </row>
    <row r="208" spans="5:17" ht="15" customHeight="1">
      <c r="E208" s="2"/>
      <c r="I208" s="2"/>
      <c r="J208" s="2"/>
      <c r="K208" s="2"/>
      <c r="Q208" s="2"/>
    </row>
    <row r="209" spans="5:17" ht="15" customHeight="1">
      <c r="E209" s="2"/>
      <c r="I209" s="2"/>
      <c r="J209" s="2"/>
      <c r="K209" s="2"/>
      <c r="Q209" s="2"/>
    </row>
    <row r="210" spans="5:17" ht="15" customHeight="1">
      <c r="E210" s="2"/>
      <c r="I210" s="2"/>
      <c r="J210" s="2"/>
      <c r="K210" s="2"/>
      <c r="Q210" s="2"/>
    </row>
    <row r="211" spans="5:17" ht="15" customHeight="1">
      <c r="E211" s="2"/>
      <c r="I211" s="2"/>
      <c r="J211" s="2"/>
      <c r="K211" s="2"/>
      <c r="Q211" s="2"/>
    </row>
    <row r="212" spans="5:17" ht="15" customHeight="1">
      <c r="E212" s="2"/>
      <c r="I212" s="2"/>
      <c r="J212" s="2"/>
      <c r="K212" s="2"/>
      <c r="Q212" s="2"/>
    </row>
    <row r="213" spans="5:17" ht="15" customHeight="1">
      <c r="E213" s="2"/>
      <c r="I213" s="2"/>
      <c r="J213" s="2"/>
      <c r="K213" s="2"/>
      <c r="Q213" s="2"/>
    </row>
    <row r="214" spans="5:17" ht="15" customHeight="1">
      <c r="E214" s="2"/>
      <c r="I214" s="2"/>
      <c r="J214" s="2"/>
      <c r="K214" s="2"/>
      <c r="Q214" s="2"/>
    </row>
    <row r="215" spans="5:17" ht="15" customHeight="1">
      <c r="E215" s="2"/>
      <c r="I215" s="2"/>
      <c r="J215" s="2"/>
      <c r="K215" s="2"/>
      <c r="Q215" s="2"/>
    </row>
    <row r="216" spans="5:17" ht="15" customHeight="1">
      <c r="E216" s="2"/>
      <c r="I216" s="2"/>
      <c r="J216" s="2"/>
      <c r="K216" s="2"/>
      <c r="Q216" s="2"/>
    </row>
    <row r="217" spans="5:17" ht="15" customHeight="1">
      <c r="E217" s="2"/>
      <c r="I217" s="2"/>
      <c r="J217" s="2"/>
      <c r="K217" s="2"/>
      <c r="Q217" s="2"/>
    </row>
    <row r="218" spans="5:17" ht="15" customHeight="1">
      <c r="E218" s="2"/>
      <c r="I218" s="2"/>
      <c r="J218" s="2"/>
      <c r="K218" s="2"/>
      <c r="Q218" s="2"/>
    </row>
    <row r="219" spans="5:17" ht="15" customHeight="1">
      <c r="E219" s="2"/>
      <c r="I219" s="2"/>
      <c r="J219" s="2"/>
      <c r="K219" s="2"/>
      <c r="Q219" s="2"/>
    </row>
    <row r="220" spans="5:17" ht="15" customHeight="1">
      <c r="E220" s="2"/>
      <c r="I220" s="2"/>
      <c r="J220" s="2"/>
      <c r="K220" s="2"/>
      <c r="Q220" s="2"/>
    </row>
    <row r="221" spans="5:17" ht="15" customHeight="1">
      <c r="E221" s="2"/>
      <c r="I221" s="2"/>
      <c r="J221" s="2"/>
      <c r="K221" s="2"/>
      <c r="Q221" s="2"/>
    </row>
    <row r="222" spans="5:17" ht="15" customHeight="1">
      <c r="E222" s="2"/>
      <c r="I222" s="2"/>
      <c r="J222" s="2"/>
      <c r="K222" s="2"/>
      <c r="Q222" s="2"/>
    </row>
    <row r="223" spans="5:17" ht="15" customHeight="1">
      <c r="E223" s="2"/>
      <c r="I223" s="2"/>
      <c r="J223" s="2"/>
      <c r="K223" s="2"/>
      <c r="Q223" s="2"/>
    </row>
    <row r="224" spans="5:17" ht="15" customHeight="1">
      <c r="E224" s="2"/>
      <c r="I224" s="2"/>
      <c r="J224" s="2"/>
      <c r="K224" s="2"/>
      <c r="Q224" s="2"/>
    </row>
    <row r="225" spans="5:17" ht="15" customHeight="1">
      <c r="E225" s="2"/>
      <c r="I225" s="2"/>
      <c r="J225" s="2"/>
      <c r="K225" s="2"/>
      <c r="Q225" s="2"/>
    </row>
    <row r="226" spans="5:17" ht="15" customHeight="1">
      <c r="E226" s="2"/>
      <c r="I226" s="2"/>
      <c r="J226" s="2"/>
      <c r="K226" s="2"/>
      <c r="Q226" s="2"/>
    </row>
    <row r="227" spans="5:17" ht="15" customHeight="1">
      <c r="E227" s="2"/>
      <c r="I227" s="2"/>
      <c r="J227" s="2"/>
      <c r="K227" s="2"/>
      <c r="Q227" s="2"/>
    </row>
    <row r="228" spans="5:17" ht="15" customHeight="1">
      <c r="E228" s="2"/>
      <c r="I228" s="2"/>
      <c r="J228" s="2"/>
      <c r="K228" s="2"/>
      <c r="Q228" s="2"/>
    </row>
    <row r="229" spans="5:17" ht="15" customHeight="1">
      <c r="E229" s="2"/>
      <c r="I229" s="2"/>
      <c r="J229" s="2"/>
      <c r="K229" s="2"/>
      <c r="Q229" s="2"/>
    </row>
    <row r="230" spans="5:17" ht="15" customHeight="1">
      <c r="E230" s="2"/>
      <c r="I230" s="2"/>
      <c r="J230" s="2"/>
      <c r="K230" s="2"/>
      <c r="Q230" s="2"/>
    </row>
    <row r="231" spans="5:17" ht="15" customHeight="1">
      <c r="E231" s="2"/>
      <c r="I231" s="2"/>
      <c r="J231" s="2"/>
      <c r="K231" s="2"/>
      <c r="Q231" s="2"/>
    </row>
    <row r="232" spans="5:17" ht="15" customHeight="1">
      <c r="E232" s="2"/>
      <c r="I232" s="2"/>
      <c r="J232" s="2"/>
      <c r="K232" s="2"/>
      <c r="Q232" s="2"/>
    </row>
    <row r="233" spans="5:17" ht="15" customHeight="1">
      <c r="E233" s="2"/>
      <c r="I233" s="2"/>
      <c r="J233" s="2"/>
      <c r="K233" s="2"/>
      <c r="Q233" s="2"/>
    </row>
    <row r="234" spans="5:17" ht="15" customHeight="1">
      <c r="E234" s="2"/>
      <c r="I234" s="2"/>
      <c r="J234" s="2"/>
      <c r="K234" s="2"/>
      <c r="Q234" s="2"/>
    </row>
    <row r="235" spans="5:17" ht="15" customHeight="1">
      <c r="E235" s="2"/>
      <c r="I235" s="2"/>
      <c r="J235" s="2"/>
      <c r="K235" s="2"/>
      <c r="Q235" s="2"/>
    </row>
    <row r="236" spans="5:17" ht="15" customHeight="1">
      <c r="E236" s="2"/>
      <c r="I236" s="2"/>
      <c r="J236" s="2"/>
      <c r="K236" s="2"/>
      <c r="Q236" s="2"/>
    </row>
    <row r="237" spans="5:17" ht="15" customHeight="1">
      <c r="E237" s="2"/>
      <c r="I237" s="2"/>
      <c r="J237" s="2"/>
      <c r="K237" s="2"/>
      <c r="Q237" s="2"/>
    </row>
    <row r="238" spans="5:17" ht="15" customHeight="1">
      <c r="E238" s="2"/>
      <c r="I238" s="2"/>
      <c r="J238" s="2"/>
      <c r="K238" s="2"/>
      <c r="Q238" s="2"/>
    </row>
    <row r="239" spans="5:17" ht="15" customHeight="1">
      <c r="E239" s="2"/>
      <c r="I239" s="2"/>
      <c r="J239" s="2"/>
      <c r="K239" s="2"/>
      <c r="Q239" s="2"/>
    </row>
    <row r="240" spans="5:17" ht="15" customHeight="1">
      <c r="E240" s="2"/>
      <c r="I240" s="2"/>
      <c r="J240" s="2"/>
      <c r="K240" s="2"/>
      <c r="Q240" s="2"/>
    </row>
    <row r="241" spans="5:17" ht="15" customHeight="1">
      <c r="E241" s="2"/>
      <c r="I241" s="2"/>
      <c r="J241" s="2"/>
      <c r="K241" s="2"/>
      <c r="Q241" s="2"/>
    </row>
    <row r="242" spans="5:17" ht="15" customHeight="1">
      <c r="E242" s="2"/>
      <c r="I242" s="2"/>
      <c r="J242" s="2"/>
      <c r="K242" s="2"/>
      <c r="Q242" s="2"/>
    </row>
    <row r="243" spans="5:17" ht="15" customHeight="1">
      <c r="E243" s="2"/>
      <c r="I243" s="2"/>
      <c r="J243" s="2"/>
      <c r="K243" s="2"/>
      <c r="Q243" s="2"/>
    </row>
    <row r="244" spans="5:17" ht="15" customHeight="1">
      <c r="E244" s="2"/>
      <c r="I244" s="2"/>
      <c r="J244" s="2"/>
      <c r="K244" s="2"/>
      <c r="Q244" s="2"/>
    </row>
    <row r="245" spans="5:17" ht="15" customHeight="1">
      <c r="E245" s="2"/>
      <c r="I245" s="2"/>
      <c r="J245" s="2"/>
      <c r="K245" s="2"/>
      <c r="Q245" s="2"/>
    </row>
    <row r="246" spans="5:17" ht="15" customHeight="1">
      <c r="E246" s="2"/>
      <c r="I246" s="2"/>
      <c r="J246" s="2"/>
      <c r="K246" s="2"/>
      <c r="Q246" s="2"/>
    </row>
    <row r="247" spans="5:17" ht="15" customHeight="1">
      <c r="E247" s="2"/>
      <c r="I247" s="2"/>
      <c r="J247" s="2"/>
      <c r="K247" s="2"/>
      <c r="Q247" s="2"/>
    </row>
    <row r="248" spans="5:17" ht="15" customHeight="1">
      <c r="E248" s="2"/>
      <c r="I248" s="2"/>
      <c r="J248" s="2"/>
      <c r="K248" s="2"/>
      <c r="Q248" s="2"/>
    </row>
    <row r="249" spans="5:17" ht="15" customHeight="1">
      <c r="E249" s="2"/>
      <c r="I249" s="2"/>
      <c r="J249" s="2"/>
      <c r="K249" s="2"/>
      <c r="Q249" s="2"/>
    </row>
    <row r="250" spans="5:17" ht="15" customHeight="1">
      <c r="E250" s="2"/>
      <c r="I250" s="2"/>
      <c r="J250" s="2"/>
      <c r="K250" s="2"/>
      <c r="Q250" s="2"/>
    </row>
    <row r="251" spans="5:17" ht="15" customHeight="1">
      <c r="E251" s="2"/>
      <c r="I251" s="2"/>
      <c r="J251" s="2"/>
      <c r="K251" s="2"/>
      <c r="Q251" s="2"/>
    </row>
    <row r="252" spans="5:17" ht="15" customHeight="1">
      <c r="E252" s="2"/>
      <c r="I252" s="2"/>
      <c r="J252" s="2"/>
      <c r="K252" s="2"/>
      <c r="Q252" s="2"/>
    </row>
    <row r="253" spans="5:17" ht="15" customHeight="1">
      <c r="E253" s="2"/>
      <c r="I253" s="2"/>
      <c r="J253" s="2"/>
      <c r="K253" s="2"/>
      <c r="Q253" s="2"/>
    </row>
    <row r="254" spans="5:17" ht="15" customHeight="1">
      <c r="E254" s="2"/>
      <c r="I254" s="2"/>
      <c r="J254" s="2"/>
      <c r="K254" s="2"/>
      <c r="Q254" s="2"/>
    </row>
    <row r="255" spans="5:17" ht="15" customHeight="1">
      <c r="E255" s="2"/>
      <c r="I255" s="2"/>
      <c r="J255" s="2"/>
      <c r="K255" s="2"/>
      <c r="Q255" s="2"/>
    </row>
    <row r="256" spans="5:17" ht="15" customHeight="1">
      <c r="E256" s="2"/>
      <c r="I256" s="2"/>
      <c r="J256" s="2"/>
      <c r="K256" s="2"/>
      <c r="Q256" s="2"/>
    </row>
    <row r="257" spans="5:17" ht="15" customHeight="1">
      <c r="E257" s="2"/>
      <c r="I257" s="2"/>
      <c r="J257" s="2"/>
      <c r="K257" s="2"/>
      <c r="Q257" s="2"/>
    </row>
    <row r="258" spans="5:17" ht="15" customHeight="1">
      <c r="E258" s="2"/>
      <c r="I258" s="2"/>
      <c r="J258" s="2"/>
      <c r="K258" s="2"/>
      <c r="Q258" s="2"/>
    </row>
    <row r="259" spans="5:17" ht="15" customHeight="1">
      <c r="E259" s="2"/>
      <c r="I259" s="2"/>
      <c r="J259" s="2"/>
      <c r="K259" s="2"/>
      <c r="Q259" s="2"/>
    </row>
    <row r="260" spans="5:17" ht="15" customHeight="1">
      <c r="E260" s="2"/>
      <c r="I260" s="2"/>
      <c r="J260" s="2"/>
      <c r="K260" s="2"/>
      <c r="Q260" s="2"/>
    </row>
    <row r="261" spans="5:17" ht="15" customHeight="1">
      <c r="E261" s="2"/>
      <c r="I261" s="2"/>
      <c r="J261" s="2"/>
      <c r="K261" s="2"/>
      <c r="Q261" s="2"/>
    </row>
    <row r="262" spans="5:17" ht="15" customHeight="1">
      <c r="E262" s="2"/>
      <c r="I262" s="2"/>
      <c r="J262" s="2"/>
      <c r="K262" s="2"/>
      <c r="Q262" s="2"/>
    </row>
    <row r="263" spans="5:17" ht="15" customHeight="1">
      <c r="E263" s="2"/>
      <c r="I263" s="2"/>
      <c r="J263" s="2"/>
      <c r="K263" s="2"/>
      <c r="Q263" s="2"/>
    </row>
    <row r="264" spans="5:17" ht="15" customHeight="1">
      <c r="E264" s="2"/>
      <c r="I264" s="2"/>
      <c r="J264" s="2"/>
      <c r="K264" s="2"/>
      <c r="Q264" s="2"/>
    </row>
    <row r="265" spans="5:17" ht="15" customHeight="1">
      <c r="E265" s="2"/>
      <c r="I265" s="2"/>
      <c r="J265" s="2"/>
      <c r="K265" s="2"/>
      <c r="Q265" s="2"/>
    </row>
    <row r="266" spans="5:17" ht="15" customHeight="1">
      <c r="E266" s="2"/>
      <c r="I266" s="2"/>
      <c r="J266" s="2"/>
      <c r="K266" s="2"/>
      <c r="Q266" s="2"/>
    </row>
    <row r="267" spans="5:17" ht="15" customHeight="1">
      <c r="E267" s="2"/>
      <c r="I267" s="2"/>
      <c r="J267" s="2"/>
      <c r="K267" s="2"/>
      <c r="Q267" s="2"/>
    </row>
    <row r="268" spans="5:17" ht="15" customHeight="1">
      <c r="E268" s="2"/>
      <c r="I268" s="2"/>
      <c r="J268" s="2"/>
      <c r="K268" s="2"/>
      <c r="Q268" s="2"/>
    </row>
    <row r="269" spans="5:17" ht="15" customHeight="1">
      <c r="E269" s="2"/>
      <c r="I269" s="2"/>
      <c r="J269" s="2"/>
      <c r="K269" s="2"/>
      <c r="Q269" s="2"/>
    </row>
    <row r="270" spans="5:17" ht="15" customHeight="1">
      <c r="E270" s="2"/>
      <c r="I270" s="2"/>
      <c r="J270" s="2"/>
      <c r="K270" s="2"/>
      <c r="Q270" s="2"/>
    </row>
    <row r="271" spans="5:17" ht="15" customHeight="1">
      <c r="E271" s="2"/>
      <c r="I271" s="2"/>
      <c r="J271" s="2"/>
      <c r="K271" s="2"/>
      <c r="Q271" s="2"/>
    </row>
    <row r="272" spans="5:17" ht="15" customHeight="1">
      <c r="E272" s="2"/>
      <c r="I272" s="2"/>
      <c r="J272" s="2"/>
      <c r="K272" s="2"/>
      <c r="Q272" s="2"/>
    </row>
    <row r="273" spans="5:17" ht="15" customHeight="1">
      <c r="E273" s="2"/>
      <c r="I273" s="2"/>
      <c r="J273" s="2"/>
      <c r="K273" s="2"/>
      <c r="Q273" s="2"/>
    </row>
    <row r="274" spans="5:17" ht="15" customHeight="1">
      <c r="E274" s="2"/>
      <c r="I274" s="2"/>
      <c r="J274" s="2"/>
      <c r="K274" s="2"/>
      <c r="Q274" s="2"/>
    </row>
    <row r="275" spans="5:17" ht="15" customHeight="1">
      <c r="E275" s="2"/>
      <c r="I275" s="2"/>
      <c r="J275" s="2"/>
      <c r="K275" s="2"/>
      <c r="Q275" s="2"/>
    </row>
    <row r="276" spans="5:17" ht="15" customHeight="1">
      <c r="E276" s="2"/>
      <c r="I276" s="2"/>
      <c r="J276" s="2"/>
      <c r="K276" s="2"/>
      <c r="Q276" s="2"/>
    </row>
    <row r="277" spans="5:17" ht="15" customHeight="1">
      <c r="E277" s="2"/>
      <c r="I277" s="2"/>
      <c r="J277" s="2"/>
      <c r="K277" s="2"/>
      <c r="Q277" s="2"/>
    </row>
    <row r="278" spans="5:17" ht="15" customHeight="1">
      <c r="E278" s="2"/>
      <c r="I278" s="2"/>
      <c r="J278" s="2"/>
      <c r="K278" s="2"/>
      <c r="Q278" s="2"/>
    </row>
    <row r="279" spans="5:17" ht="15" customHeight="1">
      <c r="E279" s="2"/>
      <c r="I279" s="2"/>
      <c r="J279" s="2"/>
      <c r="K279" s="2"/>
      <c r="Q279" s="2"/>
    </row>
    <row r="280" spans="5:17" ht="15" customHeight="1">
      <c r="E280" s="2"/>
      <c r="I280" s="2"/>
      <c r="J280" s="2"/>
      <c r="K280" s="2"/>
      <c r="Q280" s="2"/>
    </row>
    <row r="281" spans="5:17" ht="14.1" customHeight="1">
      <c r="E281" s="2"/>
      <c r="I281" s="2"/>
      <c r="J281" s="2"/>
      <c r="K281" s="2"/>
      <c r="Q281" s="2"/>
    </row>
    <row r="282" spans="5:17" ht="14.1" customHeight="1">
      <c r="E282" s="2"/>
      <c r="I282" s="2"/>
      <c r="J282" s="2"/>
      <c r="K282" s="2"/>
      <c r="Q282" s="2"/>
    </row>
    <row r="283" spans="5:17" ht="14.1" customHeight="1">
      <c r="E283" s="2"/>
      <c r="I283" s="2"/>
      <c r="J283" s="2"/>
      <c r="K283" s="2"/>
      <c r="Q283" s="2"/>
    </row>
    <row r="284" spans="5:17" ht="14.1" customHeight="1">
      <c r="E284" s="2"/>
      <c r="I284" s="2"/>
      <c r="J284" s="2"/>
      <c r="K284" s="2"/>
      <c r="Q284" s="2"/>
    </row>
    <row r="285" spans="5:17" ht="14.1" customHeight="1">
      <c r="E285" s="2"/>
      <c r="I285" s="2"/>
      <c r="J285" s="2"/>
      <c r="K285" s="2"/>
      <c r="Q285" s="2"/>
    </row>
    <row r="286" spans="5:17" ht="14.1" customHeight="1">
      <c r="E286" s="2"/>
      <c r="I286" s="2"/>
      <c r="J286" s="2"/>
      <c r="K286" s="2"/>
      <c r="Q286" s="2"/>
    </row>
    <row r="287" spans="5:17" ht="14.1" customHeight="1">
      <c r="E287" s="2"/>
      <c r="I287" s="2"/>
      <c r="J287" s="2"/>
      <c r="K287" s="2"/>
      <c r="Q287" s="2"/>
    </row>
    <row r="288" spans="5:17" ht="14.1" customHeight="1">
      <c r="E288" s="2"/>
      <c r="I288" s="2"/>
      <c r="J288" s="2"/>
      <c r="K288" s="2"/>
      <c r="Q288" s="2"/>
    </row>
    <row r="289" spans="5:17" ht="14.1" customHeight="1">
      <c r="E289" s="2"/>
      <c r="I289" s="2"/>
      <c r="J289" s="2"/>
      <c r="K289" s="2"/>
      <c r="Q289" s="2"/>
    </row>
    <row r="290" spans="5:17" ht="14.1" customHeight="1">
      <c r="E290" s="2"/>
      <c r="I290" s="2"/>
      <c r="J290" s="2"/>
      <c r="K290" s="2"/>
      <c r="Q290" s="2"/>
    </row>
    <row r="291" spans="5:17" ht="14.1" customHeight="1">
      <c r="E291" s="2"/>
      <c r="I291" s="2"/>
      <c r="J291" s="2"/>
      <c r="K291" s="2"/>
      <c r="Q291" s="2"/>
    </row>
    <row r="292" spans="5:17" ht="14.1" customHeight="1">
      <c r="E292" s="2"/>
      <c r="I292" s="2"/>
      <c r="J292" s="2"/>
      <c r="K292" s="2"/>
      <c r="Q292" s="2"/>
    </row>
    <row r="293" spans="5:17" ht="14.1" customHeight="1">
      <c r="E293" s="2"/>
      <c r="I293" s="2"/>
      <c r="J293" s="2"/>
      <c r="K293" s="2"/>
      <c r="Q293" s="2"/>
    </row>
    <row r="294" spans="5:17" ht="14.1" customHeight="1">
      <c r="E294" s="2"/>
      <c r="I294" s="2"/>
      <c r="J294" s="2"/>
      <c r="K294" s="2"/>
      <c r="Q294" s="2"/>
    </row>
    <row r="295" spans="5:17" ht="14.1" customHeight="1">
      <c r="E295" s="2"/>
      <c r="I295" s="2"/>
      <c r="J295" s="2"/>
      <c r="K295" s="2"/>
      <c r="Q295" s="2"/>
    </row>
    <row r="296" spans="5:17" ht="14.1" customHeight="1">
      <c r="E296" s="2"/>
      <c r="I296" s="2"/>
      <c r="J296" s="2"/>
      <c r="K296" s="2"/>
      <c r="Q296" s="2"/>
    </row>
    <row r="297" spans="5:17" ht="14.1" customHeight="1">
      <c r="E297" s="2"/>
      <c r="I297" s="2"/>
      <c r="J297" s="2"/>
      <c r="K297" s="2"/>
      <c r="Q297" s="2"/>
    </row>
    <row r="298" spans="5:17" ht="14.1" customHeight="1">
      <c r="E298" s="2"/>
      <c r="I298" s="2"/>
      <c r="J298" s="2"/>
      <c r="K298" s="2"/>
      <c r="Q298" s="2"/>
    </row>
    <row r="299" spans="5:17" ht="14.1" customHeight="1">
      <c r="E299" s="2"/>
      <c r="I299" s="2"/>
      <c r="J299" s="2"/>
      <c r="K299" s="2"/>
      <c r="Q299" s="2"/>
    </row>
    <row r="300" spans="5:17" ht="14.1" customHeight="1">
      <c r="E300" s="2"/>
      <c r="I300" s="2"/>
      <c r="J300" s="2"/>
      <c r="K300" s="2"/>
      <c r="Q300" s="2"/>
    </row>
    <row r="301" spans="5:17" ht="14.1" customHeight="1">
      <c r="E301" s="2"/>
      <c r="I301" s="2"/>
      <c r="J301" s="2"/>
      <c r="K301" s="2"/>
      <c r="Q301" s="2"/>
    </row>
    <row r="302" spans="5:17" ht="14.1" customHeight="1">
      <c r="E302" s="2"/>
      <c r="I302" s="2"/>
      <c r="J302" s="2"/>
      <c r="K302" s="2"/>
      <c r="Q302" s="2"/>
    </row>
    <row r="303" spans="5:17" ht="14.1" customHeight="1">
      <c r="E303" s="2"/>
      <c r="I303" s="2"/>
      <c r="J303" s="2"/>
      <c r="K303" s="2"/>
      <c r="Q303" s="2"/>
    </row>
    <row r="304" spans="5:17" ht="14.1" customHeight="1">
      <c r="E304" s="2"/>
      <c r="I304" s="2"/>
      <c r="J304" s="2"/>
      <c r="K304" s="2"/>
      <c r="Q304" s="2"/>
    </row>
    <row r="305" spans="5:17" ht="14.1" customHeight="1">
      <c r="E305" s="2"/>
      <c r="I305" s="2"/>
      <c r="J305" s="2"/>
      <c r="K305" s="2"/>
      <c r="Q305" s="2"/>
    </row>
    <row r="306" spans="5:17" ht="14.1" customHeight="1">
      <c r="E306" s="2"/>
      <c r="I306" s="2"/>
      <c r="J306" s="2"/>
      <c r="K306" s="2"/>
      <c r="Q306" s="2"/>
    </row>
    <row r="307" spans="5:17" ht="14.1" customHeight="1">
      <c r="E307" s="2"/>
      <c r="I307" s="2"/>
      <c r="J307" s="2"/>
      <c r="K307" s="2"/>
      <c r="Q307" s="2"/>
    </row>
    <row r="308" spans="5:17" ht="14.1" customHeight="1">
      <c r="E308" s="2"/>
      <c r="I308" s="2"/>
      <c r="J308" s="2"/>
      <c r="K308" s="2"/>
      <c r="Q308" s="2"/>
    </row>
    <row r="309" spans="5:17" ht="14.1" customHeight="1">
      <c r="E309" s="2"/>
      <c r="I309" s="2"/>
      <c r="J309" s="2"/>
      <c r="K309" s="2"/>
      <c r="Q309" s="2"/>
    </row>
    <row r="310" spans="5:17" ht="14.1" customHeight="1">
      <c r="E310" s="2"/>
      <c r="I310" s="2"/>
      <c r="J310" s="2"/>
      <c r="K310" s="2"/>
      <c r="Q310" s="2"/>
    </row>
    <row r="311" spans="5:17" ht="14.1" customHeight="1">
      <c r="E311" s="2"/>
      <c r="I311" s="2"/>
      <c r="J311" s="2"/>
      <c r="K311" s="2"/>
      <c r="Q311" s="2"/>
    </row>
    <row r="312" spans="5:17" ht="14.1" customHeight="1">
      <c r="E312" s="2"/>
      <c r="I312" s="2"/>
      <c r="J312" s="2"/>
      <c r="K312" s="2"/>
      <c r="Q312" s="2"/>
    </row>
    <row r="313" spans="5:17" ht="14.1" customHeight="1">
      <c r="E313" s="2"/>
      <c r="I313" s="2"/>
      <c r="J313" s="2"/>
      <c r="K313" s="2"/>
      <c r="Q313" s="2"/>
    </row>
    <row r="314" spans="5:17" ht="14.1" customHeight="1">
      <c r="E314" s="2"/>
      <c r="I314" s="2"/>
      <c r="J314" s="2"/>
      <c r="K314" s="2"/>
      <c r="Q314" s="2"/>
    </row>
    <row r="315" spans="5:17" ht="14.1" customHeight="1">
      <c r="E315" s="2"/>
      <c r="I315" s="2"/>
      <c r="J315" s="2"/>
      <c r="K315" s="2"/>
      <c r="Q315" s="2"/>
    </row>
    <row r="316" spans="5:17" ht="14.1" customHeight="1">
      <c r="E316" s="2"/>
      <c r="I316" s="2"/>
      <c r="J316" s="2"/>
      <c r="K316" s="2"/>
      <c r="Q316" s="2"/>
    </row>
    <row r="317" spans="5:17" ht="14.1" customHeight="1">
      <c r="E317" s="2"/>
      <c r="I317" s="2"/>
      <c r="J317" s="2"/>
      <c r="K317" s="2"/>
      <c r="Q317" s="2"/>
    </row>
    <row r="318" spans="5:17" ht="14.1" customHeight="1">
      <c r="E318" s="2"/>
      <c r="I318" s="2"/>
      <c r="J318" s="2"/>
      <c r="K318" s="2"/>
      <c r="Q318" s="2"/>
    </row>
    <row r="319" spans="5:17" ht="14.1" customHeight="1">
      <c r="E319" s="2"/>
      <c r="I319" s="2"/>
      <c r="J319" s="2"/>
      <c r="K319" s="2"/>
      <c r="Q319" s="2"/>
    </row>
    <row r="320" spans="5:17" ht="14.1" customHeight="1">
      <c r="E320" s="2"/>
      <c r="I320" s="2"/>
      <c r="J320" s="2"/>
      <c r="K320" s="2"/>
      <c r="Q320" s="2"/>
    </row>
    <row r="321" spans="5:17" ht="14.1" customHeight="1">
      <c r="E321" s="2"/>
      <c r="I321" s="2"/>
      <c r="J321" s="2"/>
      <c r="K321" s="2"/>
      <c r="Q321" s="2"/>
    </row>
    <row r="322" spans="5:17" ht="14.1" customHeight="1">
      <c r="E322" s="2"/>
      <c r="I322" s="2"/>
      <c r="J322" s="2"/>
      <c r="K322" s="2"/>
      <c r="Q322" s="2"/>
    </row>
    <row r="323" spans="5:17" ht="14.1" customHeight="1">
      <c r="E323" s="2"/>
      <c r="I323" s="2"/>
      <c r="J323" s="2"/>
      <c r="K323" s="2"/>
      <c r="Q323" s="2"/>
    </row>
    <row r="324" spans="5:17" ht="14.1" customHeight="1">
      <c r="E324" s="2"/>
      <c r="I324" s="2"/>
      <c r="J324" s="2"/>
      <c r="K324" s="2"/>
      <c r="Q324" s="2"/>
    </row>
    <row r="325" spans="5:17" ht="14.1" customHeight="1">
      <c r="E325" s="2"/>
      <c r="I325" s="2"/>
      <c r="J325" s="2"/>
      <c r="K325" s="2"/>
      <c r="Q325" s="2"/>
    </row>
    <row r="326" spans="5:17" ht="14.1" customHeight="1">
      <c r="E326" s="2"/>
      <c r="I326" s="2"/>
      <c r="J326" s="2"/>
      <c r="K326" s="2"/>
      <c r="Q326" s="2"/>
    </row>
    <row r="327" spans="5:17" ht="14.1" customHeight="1">
      <c r="E327" s="2"/>
      <c r="I327" s="2"/>
      <c r="J327" s="2"/>
      <c r="K327" s="2"/>
      <c r="Q327" s="2"/>
    </row>
    <row r="328" spans="5:17" ht="14.1" customHeight="1">
      <c r="E328" s="2"/>
      <c r="I328" s="2"/>
      <c r="J328" s="2"/>
      <c r="K328" s="2"/>
      <c r="Q328" s="2"/>
    </row>
    <row r="329" spans="5:17" ht="14.1" customHeight="1">
      <c r="E329" s="2"/>
      <c r="I329" s="2"/>
      <c r="J329" s="2"/>
      <c r="K329" s="2"/>
      <c r="Q329" s="2"/>
    </row>
    <row r="330" spans="5:17" ht="14.1" customHeight="1">
      <c r="E330" s="2"/>
      <c r="I330" s="2"/>
      <c r="J330" s="2"/>
      <c r="K330" s="2"/>
      <c r="Q330" s="2"/>
    </row>
    <row r="331" spans="5:17" ht="14.1" customHeight="1">
      <c r="E331" s="2"/>
      <c r="I331" s="2"/>
      <c r="J331" s="2"/>
      <c r="K331" s="2"/>
      <c r="Q331" s="2"/>
    </row>
    <row r="332" spans="5:17" ht="14.1" customHeight="1">
      <c r="E332" s="2"/>
      <c r="I332" s="2"/>
      <c r="J332" s="2"/>
      <c r="K332" s="2"/>
      <c r="Q332" s="2"/>
    </row>
    <row r="333" spans="5:17" ht="14.1" customHeight="1">
      <c r="E333" s="2"/>
      <c r="I333" s="2"/>
      <c r="J333" s="2"/>
      <c r="K333" s="2"/>
      <c r="Q333" s="2"/>
    </row>
    <row r="334" spans="5:17" ht="14.1" customHeight="1">
      <c r="E334" s="2"/>
      <c r="I334" s="2"/>
      <c r="J334" s="2"/>
      <c r="K334" s="2"/>
      <c r="Q334" s="2"/>
    </row>
    <row r="335" spans="5:17" ht="14.1" customHeight="1">
      <c r="E335" s="2"/>
      <c r="I335" s="2"/>
      <c r="J335" s="2"/>
      <c r="K335" s="2"/>
      <c r="Q335" s="2"/>
    </row>
    <row r="336" spans="5:17" ht="14.1" customHeight="1">
      <c r="E336" s="2"/>
      <c r="I336" s="2"/>
      <c r="J336" s="2"/>
      <c r="K336" s="2"/>
      <c r="Q336" s="2"/>
    </row>
    <row r="337" spans="5:17" ht="14.1" customHeight="1">
      <c r="E337" s="2"/>
      <c r="I337" s="2"/>
      <c r="J337" s="2"/>
      <c r="K337" s="2"/>
      <c r="Q337" s="2"/>
    </row>
    <row r="338" spans="5:17" ht="14.1" customHeight="1">
      <c r="E338" s="2"/>
      <c r="I338" s="2"/>
      <c r="J338" s="2"/>
      <c r="K338" s="2"/>
      <c r="Q338" s="2"/>
    </row>
    <row r="339" spans="5:17" ht="14.1" customHeight="1">
      <c r="E339" s="2"/>
      <c r="I339" s="2"/>
      <c r="J339" s="2"/>
      <c r="K339" s="2"/>
      <c r="Q339" s="2"/>
    </row>
    <row r="340" spans="5:17" ht="14.1" customHeight="1">
      <c r="E340" s="2"/>
      <c r="I340" s="2"/>
      <c r="J340" s="2"/>
      <c r="K340" s="2"/>
      <c r="Q340" s="2"/>
    </row>
    <row r="341" spans="5:17" ht="14.1" customHeight="1">
      <c r="E341" s="2"/>
      <c r="I341" s="2"/>
      <c r="J341" s="2"/>
      <c r="K341" s="2"/>
      <c r="Q341" s="2"/>
    </row>
    <row r="342" spans="5:17" ht="14.1" customHeight="1">
      <c r="E342" s="2"/>
      <c r="I342" s="2"/>
      <c r="J342" s="2"/>
      <c r="K342" s="2"/>
      <c r="Q342" s="2"/>
    </row>
    <row r="343" spans="5:17" ht="14.1" customHeight="1">
      <c r="E343" s="2"/>
      <c r="I343" s="2"/>
      <c r="J343" s="2"/>
      <c r="K343" s="2"/>
      <c r="Q343" s="2"/>
    </row>
    <row r="344" spans="5:17" ht="14.1" customHeight="1">
      <c r="E344" s="2"/>
      <c r="I344" s="2"/>
      <c r="J344" s="2"/>
      <c r="K344" s="2"/>
      <c r="Q344" s="2"/>
    </row>
    <row r="345" spans="5:17" ht="14.1" customHeight="1">
      <c r="E345" s="2"/>
      <c r="I345" s="2"/>
      <c r="J345" s="2"/>
      <c r="K345" s="2"/>
      <c r="Q345" s="2"/>
    </row>
    <row r="346" spans="5:17" ht="14.1" customHeight="1">
      <c r="E346" s="2"/>
      <c r="I346" s="2"/>
      <c r="J346" s="2"/>
      <c r="K346" s="2"/>
      <c r="Q346" s="2"/>
    </row>
    <row r="347" spans="5:17" ht="14.1" customHeight="1">
      <c r="E347" s="2"/>
      <c r="I347" s="2"/>
      <c r="J347" s="2"/>
      <c r="K347" s="2"/>
      <c r="Q347" s="2"/>
    </row>
    <row r="348" spans="5:17" ht="14.1" customHeight="1">
      <c r="E348" s="2"/>
      <c r="I348" s="2"/>
      <c r="J348" s="2"/>
      <c r="K348" s="2"/>
      <c r="Q348" s="2"/>
    </row>
    <row r="349" spans="5:17" ht="14.1" customHeight="1">
      <c r="E349" s="2"/>
      <c r="I349" s="2"/>
      <c r="J349" s="2"/>
      <c r="K349" s="2"/>
      <c r="Q349" s="2"/>
    </row>
    <row r="350" spans="5:17" ht="14.1" customHeight="1">
      <c r="E350" s="2"/>
      <c r="I350" s="2"/>
      <c r="J350" s="2"/>
      <c r="K350" s="2"/>
      <c r="Q350" s="2"/>
    </row>
    <row r="351" spans="5:17" ht="14.1" customHeight="1">
      <c r="E351" s="2"/>
      <c r="I351" s="2"/>
      <c r="J351" s="2"/>
      <c r="K351" s="2"/>
      <c r="Q351" s="2"/>
    </row>
    <row r="352" spans="5:17" ht="14.1" customHeight="1">
      <c r="E352" s="2"/>
      <c r="I352" s="2"/>
      <c r="J352" s="2"/>
      <c r="K352" s="2"/>
      <c r="Q352" s="2"/>
    </row>
    <row r="353" spans="5:17" ht="14.1" customHeight="1">
      <c r="E353" s="2"/>
      <c r="I353" s="2"/>
      <c r="J353" s="2"/>
      <c r="K353" s="2"/>
      <c r="Q353" s="2"/>
    </row>
    <row r="354" spans="5:17" ht="14.1" customHeight="1">
      <c r="E354" s="2"/>
      <c r="I354" s="2"/>
      <c r="J354" s="2"/>
      <c r="K354" s="2"/>
      <c r="Q354" s="2"/>
    </row>
    <row r="355" spans="5:17" ht="14.1" customHeight="1">
      <c r="E355" s="2"/>
      <c r="I355" s="2"/>
      <c r="J355" s="2"/>
      <c r="K355" s="2"/>
      <c r="Q355" s="2"/>
    </row>
    <row r="356" spans="5:17" ht="14.1" customHeight="1">
      <c r="E356" s="2"/>
      <c r="I356" s="2"/>
      <c r="J356" s="2"/>
      <c r="K356" s="2"/>
      <c r="Q356" s="2"/>
    </row>
    <row r="357" spans="5:17" ht="14.1" customHeight="1">
      <c r="E357" s="2"/>
      <c r="I357" s="2"/>
      <c r="J357" s="2"/>
      <c r="K357" s="2"/>
      <c r="Q357" s="2"/>
    </row>
    <row r="358" spans="5:17" ht="14.1" customHeight="1">
      <c r="E358" s="2"/>
      <c r="I358" s="2"/>
      <c r="J358" s="2"/>
      <c r="K358" s="2"/>
      <c r="Q358" s="2"/>
    </row>
    <row r="359" spans="5:17" ht="14.1" customHeight="1">
      <c r="E359" s="2"/>
      <c r="I359" s="2"/>
      <c r="J359" s="2"/>
      <c r="K359" s="2"/>
      <c r="Q359" s="2"/>
    </row>
    <row r="360" spans="5:17" ht="14.1" customHeight="1">
      <c r="E360" s="2"/>
      <c r="I360" s="2"/>
      <c r="J360" s="2"/>
      <c r="K360" s="2"/>
      <c r="Q360" s="2"/>
    </row>
    <row r="361" spans="5:17" ht="14.1" customHeight="1">
      <c r="E361" s="2"/>
      <c r="I361" s="2"/>
      <c r="J361" s="2"/>
      <c r="K361" s="2"/>
      <c r="Q361" s="2"/>
    </row>
    <row r="362" spans="5:17" ht="14.1" customHeight="1">
      <c r="E362" s="2"/>
      <c r="I362" s="2"/>
      <c r="J362" s="2"/>
      <c r="K362" s="2"/>
      <c r="Q362" s="2"/>
    </row>
    <row r="363" spans="5:17" ht="14.1" customHeight="1">
      <c r="E363" s="2"/>
      <c r="I363" s="2"/>
      <c r="J363" s="2"/>
      <c r="K363" s="2"/>
      <c r="Q363" s="2"/>
    </row>
    <row r="364" spans="5:17" ht="14.1" customHeight="1">
      <c r="E364" s="2"/>
      <c r="I364" s="2"/>
      <c r="J364" s="2"/>
      <c r="K364" s="2"/>
      <c r="Q364" s="2"/>
    </row>
    <row r="365" spans="5:17" ht="14.1" customHeight="1">
      <c r="E365" s="2"/>
      <c r="I365" s="2"/>
      <c r="J365" s="2"/>
      <c r="K365" s="2"/>
      <c r="Q365" s="2"/>
    </row>
    <row r="366" spans="5:17" ht="14.1" customHeight="1">
      <c r="E366" s="2"/>
      <c r="I366" s="2"/>
      <c r="J366" s="2"/>
      <c r="K366" s="2"/>
      <c r="Q366" s="2"/>
    </row>
    <row r="367" spans="5:17" ht="14.1" customHeight="1">
      <c r="E367" s="2"/>
      <c r="I367" s="2"/>
      <c r="J367" s="2"/>
      <c r="K367" s="2"/>
      <c r="Q367" s="2"/>
    </row>
    <row r="368" spans="5:17" ht="14.1" customHeight="1">
      <c r="E368" s="2"/>
      <c r="I368" s="2"/>
      <c r="J368" s="2"/>
      <c r="K368" s="2"/>
      <c r="Q368" s="2"/>
    </row>
    <row r="369" spans="5:17" ht="14.1" customHeight="1">
      <c r="E369" s="2"/>
      <c r="I369" s="2"/>
      <c r="J369" s="2"/>
      <c r="K369" s="2"/>
      <c r="Q369" s="2"/>
    </row>
    <row r="370" spans="5:17" ht="14.1" customHeight="1">
      <c r="E370" s="2"/>
      <c r="I370" s="2"/>
      <c r="J370" s="2"/>
      <c r="K370" s="2"/>
      <c r="Q370" s="2"/>
    </row>
    <row r="371" spans="5:17" ht="14.1" customHeight="1">
      <c r="E371" s="2"/>
      <c r="I371" s="2"/>
      <c r="J371" s="2"/>
      <c r="K371" s="2"/>
      <c r="Q371" s="2"/>
    </row>
    <row r="372" spans="5:17" ht="14.1" customHeight="1">
      <c r="E372" s="2"/>
      <c r="I372" s="2"/>
      <c r="J372" s="2"/>
      <c r="K372" s="2"/>
      <c r="Q372" s="2"/>
    </row>
    <row r="373" spans="5:17" ht="14.1" customHeight="1">
      <c r="E373" s="2"/>
      <c r="I373" s="2"/>
      <c r="J373" s="2"/>
      <c r="K373" s="2"/>
      <c r="Q373" s="2"/>
    </row>
    <row r="374" spans="5:17" ht="14.1" customHeight="1">
      <c r="E374" s="2"/>
      <c r="I374" s="2"/>
      <c r="J374" s="2"/>
      <c r="K374" s="2"/>
      <c r="Q374" s="2"/>
    </row>
    <row r="375" spans="5:17" ht="14.1" customHeight="1">
      <c r="E375" s="2"/>
      <c r="I375" s="2"/>
      <c r="J375" s="2"/>
      <c r="K375" s="2"/>
      <c r="Q375" s="2"/>
    </row>
    <row r="376" spans="5:17" ht="14.1" customHeight="1">
      <c r="E376" s="2"/>
      <c r="I376" s="2"/>
      <c r="J376" s="2"/>
      <c r="K376" s="2"/>
      <c r="Q376" s="2"/>
    </row>
    <row r="377" spans="5:17" ht="14.1" customHeight="1">
      <c r="E377" s="2"/>
      <c r="I377" s="2"/>
      <c r="J377" s="2"/>
      <c r="K377" s="2"/>
      <c r="Q377" s="2"/>
    </row>
    <row r="378" spans="5:17" ht="14.1" customHeight="1">
      <c r="E378" s="2"/>
      <c r="I378" s="2"/>
      <c r="J378" s="2"/>
      <c r="K378" s="2"/>
      <c r="Q378" s="2"/>
    </row>
    <row r="379" spans="5:17" ht="14.1" customHeight="1">
      <c r="E379" s="2"/>
      <c r="I379" s="2"/>
      <c r="J379" s="2"/>
      <c r="K379" s="2"/>
      <c r="Q379" s="2"/>
    </row>
    <row r="380" spans="5:17" ht="14.1" customHeight="1">
      <c r="E380" s="2"/>
      <c r="I380" s="2"/>
      <c r="J380" s="2"/>
      <c r="K380" s="2"/>
      <c r="Q380" s="2"/>
    </row>
    <row r="381" spans="5:17" ht="14.1" customHeight="1">
      <c r="E381" s="2"/>
      <c r="I381" s="2"/>
      <c r="J381" s="2"/>
      <c r="K381" s="2"/>
      <c r="Q381" s="2"/>
    </row>
    <row r="382" spans="5:17" ht="14.1" customHeight="1">
      <c r="E382" s="2"/>
      <c r="I382" s="2"/>
      <c r="J382" s="2"/>
      <c r="K382" s="2"/>
      <c r="Q382" s="2"/>
    </row>
    <row r="383" spans="5:17" ht="14.1" customHeight="1">
      <c r="E383" s="2"/>
      <c r="I383" s="2"/>
      <c r="J383" s="2"/>
      <c r="K383" s="2"/>
      <c r="Q383" s="2"/>
    </row>
    <row r="384" spans="5:17" ht="14.1" customHeight="1">
      <c r="E384" s="2"/>
      <c r="I384" s="2"/>
      <c r="J384" s="2"/>
      <c r="K384" s="2"/>
      <c r="Q384" s="2"/>
    </row>
    <row r="385" spans="5:17" ht="14.1" customHeight="1">
      <c r="E385" s="2"/>
      <c r="I385" s="2"/>
      <c r="J385" s="2"/>
      <c r="K385" s="2"/>
      <c r="Q385" s="2"/>
    </row>
    <row r="386" spans="5:17" ht="14.1" customHeight="1">
      <c r="E386" s="2"/>
      <c r="I386" s="2"/>
      <c r="J386" s="2"/>
      <c r="K386" s="2"/>
      <c r="Q386" s="2"/>
    </row>
    <row r="387" spans="5:17" ht="14.1" customHeight="1">
      <c r="E387" s="2"/>
      <c r="I387" s="2"/>
      <c r="J387" s="2"/>
      <c r="K387" s="2"/>
      <c r="Q387" s="2"/>
    </row>
    <row r="388" spans="5:17" ht="14.1" customHeight="1">
      <c r="E388" s="2"/>
      <c r="I388" s="2"/>
      <c r="J388" s="2"/>
      <c r="K388" s="2"/>
      <c r="Q388" s="2"/>
    </row>
    <row r="389" spans="5:17" ht="14.1" customHeight="1">
      <c r="E389" s="2"/>
      <c r="I389" s="2"/>
      <c r="J389" s="2"/>
      <c r="K389" s="2"/>
      <c r="Q389" s="2"/>
    </row>
    <row r="390" spans="5:17" ht="14.1" customHeight="1">
      <c r="E390" s="2"/>
      <c r="I390" s="2"/>
      <c r="J390" s="2"/>
      <c r="K390" s="2"/>
      <c r="Q390" s="2"/>
    </row>
    <row r="391" spans="5:17" ht="14.1" customHeight="1">
      <c r="E391" s="2"/>
      <c r="I391" s="2"/>
      <c r="J391" s="2"/>
      <c r="K391" s="2"/>
      <c r="Q391" s="2"/>
    </row>
    <row r="392" spans="5:17" ht="14.1" customHeight="1">
      <c r="E392" s="2"/>
      <c r="I392" s="2"/>
      <c r="J392" s="2"/>
      <c r="K392" s="2"/>
      <c r="Q392" s="2"/>
    </row>
    <row r="393" spans="5:17" ht="14.1" customHeight="1">
      <c r="E393" s="2"/>
      <c r="I393" s="2"/>
      <c r="J393" s="2"/>
      <c r="K393" s="2"/>
      <c r="Q393" s="2"/>
    </row>
    <row r="394" spans="5:17" ht="14.1" customHeight="1">
      <c r="E394" s="2"/>
      <c r="I394" s="2"/>
      <c r="J394" s="2"/>
      <c r="K394" s="2"/>
      <c r="Q394" s="2"/>
    </row>
    <row r="395" spans="5:17" ht="14.1" customHeight="1">
      <c r="E395" s="2"/>
      <c r="I395" s="2"/>
      <c r="J395" s="2"/>
      <c r="K395" s="2"/>
      <c r="Q395" s="2"/>
    </row>
    <row r="396" spans="5:17" ht="14.1" customHeight="1">
      <c r="E396" s="2"/>
      <c r="I396" s="2"/>
      <c r="J396" s="2"/>
      <c r="K396" s="2"/>
      <c r="Q396" s="2"/>
    </row>
    <row r="397" spans="5:17" ht="14.1" customHeight="1">
      <c r="E397" s="2"/>
      <c r="I397" s="2"/>
      <c r="J397" s="2"/>
      <c r="K397" s="2"/>
      <c r="Q397" s="2"/>
    </row>
    <row r="398" spans="5:17" ht="14.1" customHeight="1">
      <c r="E398" s="2"/>
      <c r="I398" s="2"/>
      <c r="J398" s="2"/>
      <c r="K398" s="2"/>
      <c r="Q398" s="2"/>
    </row>
    <row r="399" spans="5:17" ht="14.1" customHeight="1">
      <c r="E399" s="2"/>
      <c r="I399" s="2"/>
      <c r="J399" s="2"/>
      <c r="K399" s="2"/>
      <c r="Q399" s="2"/>
    </row>
    <row r="400" spans="5:17" ht="14.1" customHeight="1">
      <c r="E400" s="2"/>
      <c r="I400" s="2"/>
      <c r="J400" s="2"/>
      <c r="K400" s="2"/>
      <c r="Q400" s="2"/>
    </row>
    <row r="401" spans="5:17" ht="14.1" customHeight="1">
      <c r="E401" s="2"/>
      <c r="I401" s="2"/>
      <c r="J401" s="2"/>
      <c r="K401" s="2"/>
      <c r="Q401" s="2"/>
    </row>
    <row r="402" spans="5:17" ht="14.1" customHeight="1">
      <c r="E402" s="2"/>
      <c r="I402" s="2"/>
      <c r="J402" s="2"/>
      <c r="K402" s="2"/>
      <c r="Q402" s="2"/>
    </row>
    <row r="403" spans="5:17" ht="14.1" customHeight="1">
      <c r="E403" s="2"/>
      <c r="I403" s="2"/>
      <c r="J403" s="2"/>
      <c r="K403" s="2"/>
      <c r="Q403" s="2"/>
    </row>
    <row r="404" spans="5:17" ht="14.1" customHeight="1">
      <c r="E404" s="2"/>
      <c r="I404" s="2"/>
      <c r="J404" s="2"/>
      <c r="K404" s="2"/>
      <c r="Q404" s="2"/>
    </row>
    <row r="405" spans="5:17" ht="14.1" customHeight="1">
      <c r="E405" s="2"/>
      <c r="I405" s="2"/>
      <c r="J405" s="2"/>
      <c r="K405" s="2"/>
      <c r="Q405" s="2"/>
    </row>
    <row r="406" spans="5:17" ht="14.1" customHeight="1">
      <c r="E406" s="2"/>
      <c r="I406" s="2"/>
      <c r="J406" s="2"/>
      <c r="K406" s="2"/>
      <c r="Q406" s="2"/>
    </row>
    <row r="407" spans="5:17" ht="14.1" customHeight="1">
      <c r="E407" s="2"/>
      <c r="I407" s="2"/>
      <c r="J407" s="2"/>
      <c r="K407" s="2"/>
      <c r="Q407" s="2"/>
    </row>
    <row r="408" spans="5:17" ht="14.1" customHeight="1">
      <c r="E408" s="2"/>
      <c r="I408" s="2"/>
      <c r="J408" s="2"/>
      <c r="K408" s="2"/>
      <c r="Q408" s="2"/>
    </row>
    <row r="409" spans="5:17" ht="14.1" customHeight="1">
      <c r="E409" s="2"/>
      <c r="I409" s="2"/>
      <c r="J409" s="2"/>
      <c r="K409" s="2"/>
      <c r="Q409" s="2"/>
    </row>
    <row r="410" spans="5:17" ht="14.1" customHeight="1">
      <c r="E410" s="2"/>
      <c r="I410" s="2"/>
      <c r="J410" s="2"/>
      <c r="K410" s="2"/>
      <c r="Q410" s="2"/>
    </row>
    <row r="411" spans="5:17" ht="14.1" customHeight="1">
      <c r="E411" s="2"/>
      <c r="I411" s="2"/>
      <c r="J411" s="2"/>
      <c r="K411" s="2"/>
      <c r="Q411" s="2"/>
    </row>
    <row r="412" spans="5:17" ht="14.1" customHeight="1">
      <c r="E412" s="2"/>
      <c r="I412" s="2"/>
      <c r="J412" s="2"/>
      <c r="K412" s="2"/>
      <c r="Q412" s="2"/>
    </row>
    <row r="413" spans="5:17" ht="14.1" customHeight="1">
      <c r="E413" s="2"/>
      <c r="I413" s="2"/>
      <c r="J413" s="2"/>
      <c r="K413" s="2"/>
      <c r="Q413" s="2"/>
    </row>
    <row r="414" spans="5:17" ht="14.1" customHeight="1">
      <c r="E414" s="2"/>
      <c r="I414" s="2"/>
      <c r="J414" s="2"/>
      <c r="K414" s="2"/>
      <c r="Q414" s="2"/>
    </row>
    <row r="415" spans="5:17" ht="14.1" customHeight="1">
      <c r="E415" s="2"/>
      <c r="I415" s="2"/>
      <c r="J415" s="2"/>
      <c r="K415" s="2"/>
      <c r="Q415" s="2"/>
    </row>
    <row r="416" spans="5:17" ht="14.1" customHeight="1">
      <c r="E416" s="2"/>
      <c r="I416" s="2"/>
      <c r="J416" s="2"/>
      <c r="K416" s="2"/>
      <c r="Q416" s="2"/>
    </row>
    <row r="417" spans="5:17" ht="14.1" customHeight="1">
      <c r="E417" s="2"/>
      <c r="I417" s="2"/>
      <c r="J417" s="2"/>
      <c r="K417" s="2"/>
      <c r="Q417" s="2"/>
    </row>
    <row r="418" spans="5:17" ht="14.1" customHeight="1">
      <c r="E418" s="2"/>
      <c r="I418" s="2"/>
      <c r="J418" s="2"/>
      <c r="K418" s="2"/>
      <c r="Q418" s="2"/>
    </row>
    <row r="419" spans="5:17" ht="14.1" customHeight="1">
      <c r="E419" s="2"/>
      <c r="I419" s="2"/>
      <c r="J419" s="2"/>
      <c r="K419" s="2"/>
      <c r="Q419" s="2"/>
    </row>
    <row r="420" spans="5:17" ht="14.1" customHeight="1">
      <c r="E420" s="2"/>
      <c r="I420" s="2"/>
      <c r="J420" s="2"/>
      <c r="K420" s="2"/>
      <c r="Q420" s="2"/>
    </row>
    <row r="421" spans="5:17" ht="14.1" customHeight="1">
      <c r="E421" s="2"/>
      <c r="I421" s="2"/>
      <c r="J421" s="2"/>
      <c r="K421" s="2"/>
      <c r="Q421" s="2"/>
    </row>
    <row r="422" spans="5:17" ht="14.1" customHeight="1">
      <c r="E422" s="2"/>
      <c r="I422" s="2"/>
      <c r="J422" s="2"/>
      <c r="K422" s="2"/>
      <c r="Q422" s="2"/>
    </row>
    <row r="423" spans="5:17" ht="14.1" customHeight="1">
      <c r="E423" s="2"/>
      <c r="I423" s="2"/>
      <c r="J423" s="2"/>
      <c r="K423" s="2"/>
      <c r="Q423" s="2"/>
    </row>
    <row r="424" spans="5:17" ht="14.1" customHeight="1">
      <c r="E424" s="2"/>
      <c r="I424" s="2"/>
      <c r="J424" s="2"/>
      <c r="K424" s="2"/>
      <c r="Q424" s="2"/>
    </row>
    <row r="425" spans="5:17" ht="14.1" customHeight="1">
      <c r="E425" s="2"/>
      <c r="I425" s="2"/>
      <c r="J425" s="2"/>
      <c r="K425" s="2"/>
      <c r="Q425" s="2"/>
    </row>
    <row r="426" spans="5:17" ht="14.1" customHeight="1">
      <c r="E426" s="2"/>
      <c r="I426" s="2"/>
      <c r="J426" s="2"/>
      <c r="K426" s="2"/>
      <c r="Q426" s="2"/>
    </row>
    <row r="427" spans="5:17" ht="14.1" customHeight="1">
      <c r="E427" s="2"/>
      <c r="I427" s="2"/>
      <c r="J427" s="2"/>
      <c r="K427" s="2"/>
      <c r="Q427" s="2"/>
    </row>
    <row r="428" spans="5:17" ht="14.1" customHeight="1">
      <c r="E428" s="2"/>
      <c r="I428" s="2"/>
      <c r="J428" s="2"/>
      <c r="K428" s="2"/>
      <c r="Q428" s="2"/>
    </row>
    <row r="429" spans="5:17" ht="14.1" customHeight="1">
      <c r="E429" s="2"/>
      <c r="I429" s="2"/>
      <c r="J429" s="2"/>
      <c r="K429" s="2"/>
      <c r="Q429" s="2"/>
    </row>
    <row r="430" spans="5:17" ht="14.1" customHeight="1">
      <c r="E430" s="2"/>
      <c r="I430" s="2"/>
      <c r="J430" s="2"/>
      <c r="K430" s="2"/>
      <c r="Q430" s="2"/>
    </row>
    <row r="431" spans="5:17" ht="14.1" customHeight="1">
      <c r="E431" s="2"/>
      <c r="I431" s="2"/>
      <c r="J431" s="2"/>
      <c r="K431" s="2"/>
      <c r="Q431" s="2"/>
    </row>
    <row r="432" spans="5:17" ht="14.1" customHeight="1">
      <c r="E432" s="2"/>
      <c r="I432" s="2"/>
      <c r="J432" s="2"/>
      <c r="K432" s="2"/>
      <c r="Q432" s="2"/>
    </row>
    <row r="433" spans="5:17" ht="14.1" customHeight="1">
      <c r="E433" s="2"/>
      <c r="I433" s="2"/>
      <c r="J433" s="2"/>
      <c r="K433" s="2"/>
      <c r="Q433" s="2"/>
    </row>
    <row r="434" spans="5:17" ht="14.1" customHeight="1">
      <c r="E434" s="2"/>
      <c r="I434" s="2"/>
      <c r="J434" s="2"/>
      <c r="K434" s="2"/>
      <c r="Q434" s="2"/>
    </row>
    <row r="435" spans="5:17" ht="14.1" customHeight="1">
      <c r="E435" s="2"/>
      <c r="I435" s="2"/>
      <c r="J435" s="2"/>
      <c r="K435" s="2"/>
      <c r="Q435" s="2"/>
    </row>
    <row r="436" spans="5:17" ht="14.1" customHeight="1">
      <c r="E436" s="2"/>
      <c r="I436" s="2"/>
      <c r="J436" s="2"/>
      <c r="K436" s="2"/>
      <c r="Q436" s="2"/>
    </row>
    <row r="437" spans="5:17" ht="14.1" customHeight="1">
      <c r="E437" s="2"/>
      <c r="I437" s="2"/>
      <c r="J437" s="2"/>
      <c r="K437" s="2"/>
      <c r="Q437" s="2"/>
    </row>
    <row r="438" spans="5:17" ht="14.1" customHeight="1">
      <c r="E438" s="2"/>
      <c r="I438" s="2"/>
      <c r="J438" s="2"/>
      <c r="K438" s="2"/>
      <c r="Q438" s="2"/>
    </row>
    <row r="439" spans="5:17" ht="14.1" customHeight="1">
      <c r="E439" s="2"/>
      <c r="I439" s="2"/>
      <c r="J439" s="2"/>
      <c r="K439" s="2"/>
      <c r="Q439" s="2"/>
    </row>
    <row r="440" spans="5:17" ht="14.1" customHeight="1">
      <c r="E440" s="2"/>
      <c r="I440" s="2"/>
      <c r="J440" s="2"/>
      <c r="K440" s="2"/>
      <c r="Q440" s="2"/>
    </row>
    <row r="441" spans="5:17" ht="14.1" customHeight="1">
      <c r="E441" s="2"/>
      <c r="I441" s="2"/>
      <c r="J441" s="2"/>
      <c r="K441" s="2"/>
      <c r="Q441" s="2"/>
    </row>
    <row r="442" spans="5:17" ht="14.1" customHeight="1">
      <c r="E442" s="2"/>
      <c r="I442" s="2"/>
      <c r="J442" s="2"/>
      <c r="K442" s="2"/>
      <c r="Q442" s="2"/>
    </row>
    <row r="443" spans="5:17" ht="14.1" customHeight="1">
      <c r="E443" s="2"/>
      <c r="I443" s="2"/>
      <c r="J443" s="2"/>
      <c r="K443" s="2"/>
      <c r="Q443" s="2"/>
    </row>
    <row r="444" spans="5:17" ht="14.1" customHeight="1">
      <c r="E444" s="2"/>
      <c r="I444" s="2"/>
      <c r="J444" s="2"/>
      <c r="K444" s="2"/>
      <c r="Q444" s="2"/>
    </row>
    <row r="445" spans="5:17" ht="14.1" customHeight="1">
      <c r="E445" s="2"/>
      <c r="I445" s="2"/>
      <c r="J445" s="2"/>
      <c r="K445" s="2"/>
      <c r="Q445" s="2"/>
    </row>
    <row r="446" spans="5:17" ht="14.1" customHeight="1">
      <c r="E446" s="2"/>
      <c r="I446" s="2"/>
      <c r="J446" s="2"/>
      <c r="K446" s="2"/>
      <c r="Q446" s="2"/>
    </row>
    <row r="447" spans="5:17" ht="14.1" customHeight="1">
      <c r="E447" s="2"/>
      <c r="I447" s="2"/>
      <c r="J447" s="2"/>
      <c r="K447" s="2"/>
      <c r="Q447" s="2"/>
    </row>
    <row r="448" spans="5:17" ht="14.1" customHeight="1">
      <c r="E448" s="2"/>
      <c r="I448" s="2"/>
      <c r="J448" s="2"/>
      <c r="K448" s="2"/>
      <c r="Q448" s="2"/>
    </row>
    <row r="449" spans="5:17" ht="14.1" customHeight="1">
      <c r="E449" s="2"/>
      <c r="I449" s="2"/>
      <c r="J449" s="2"/>
      <c r="K449" s="2"/>
      <c r="Q449" s="2"/>
    </row>
    <row r="450" spans="5:17" ht="14.1" customHeight="1">
      <c r="E450" s="2"/>
      <c r="I450" s="2"/>
      <c r="J450" s="2"/>
      <c r="K450" s="2"/>
      <c r="Q450" s="2"/>
    </row>
    <row r="451" spans="5:17" ht="14.1" customHeight="1">
      <c r="E451" s="2"/>
      <c r="I451" s="2"/>
      <c r="J451" s="2"/>
      <c r="K451" s="2"/>
      <c r="Q451" s="2"/>
    </row>
    <row r="452" spans="5:17" ht="14.1" customHeight="1">
      <c r="E452" s="2"/>
      <c r="I452" s="2"/>
      <c r="J452" s="2"/>
      <c r="K452" s="2"/>
      <c r="Q452" s="2"/>
    </row>
    <row r="453" spans="5:17" ht="14.1" customHeight="1">
      <c r="E453" s="2"/>
      <c r="I453" s="2"/>
      <c r="J453" s="2"/>
      <c r="K453" s="2"/>
      <c r="Q453" s="2"/>
    </row>
    <row r="454" spans="5:17" ht="14.1" customHeight="1">
      <c r="E454" s="2"/>
      <c r="I454" s="2"/>
      <c r="J454" s="2"/>
      <c r="K454" s="2"/>
      <c r="Q454" s="2"/>
    </row>
    <row r="455" spans="5:17" ht="14.1" customHeight="1">
      <c r="E455" s="2"/>
      <c r="I455" s="2"/>
      <c r="J455" s="2"/>
      <c r="K455" s="2"/>
      <c r="Q455" s="2"/>
    </row>
    <row r="456" spans="5:17" ht="14.1" customHeight="1">
      <c r="E456" s="2"/>
      <c r="I456" s="2"/>
      <c r="J456" s="2"/>
      <c r="K456" s="2"/>
      <c r="Q456" s="2"/>
    </row>
    <row r="457" spans="5:17" ht="14.1" customHeight="1">
      <c r="E457" s="2"/>
      <c r="I457" s="2"/>
      <c r="J457" s="2"/>
      <c r="K457" s="2"/>
      <c r="Q457" s="2"/>
    </row>
    <row r="458" spans="5:17" ht="14.1" customHeight="1">
      <c r="E458" s="2"/>
      <c r="I458" s="2"/>
      <c r="J458" s="2"/>
      <c r="K458" s="2"/>
      <c r="Q458" s="2"/>
    </row>
    <row r="459" spans="5:17" ht="14.1" customHeight="1">
      <c r="E459" s="2"/>
      <c r="I459" s="2"/>
      <c r="J459" s="2"/>
      <c r="K459" s="2"/>
      <c r="Q459" s="2"/>
    </row>
    <row r="460" spans="5:17" ht="14.1" customHeight="1">
      <c r="E460" s="2"/>
      <c r="I460" s="2"/>
      <c r="J460" s="2"/>
      <c r="K460" s="2"/>
      <c r="Q460" s="2"/>
    </row>
    <row r="461" spans="5:17" ht="14.1" customHeight="1">
      <c r="E461" s="2"/>
      <c r="I461" s="2"/>
      <c r="J461" s="2"/>
      <c r="K461" s="2"/>
      <c r="Q461" s="2"/>
    </row>
    <row r="462" spans="5:17" ht="14.1" customHeight="1">
      <c r="E462" s="2"/>
      <c r="I462" s="2"/>
      <c r="J462" s="2"/>
      <c r="K462" s="2"/>
      <c r="Q462" s="2"/>
    </row>
    <row r="463" spans="5:17" ht="14.1" customHeight="1">
      <c r="E463" s="2"/>
      <c r="I463" s="2"/>
      <c r="J463" s="2"/>
      <c r="K463" s="2"/>
      <c r="Q463" s="2"/>
    </row>
    <row r="464" spans="5:17" ht="14.1" customHeight="1">
      <c r="E464" s="2"/>
      <c r="I464" s="2"/>
      <c r="J464" s="2"/>
      <c r="K464" s="2"/>
      <c r="Q464" s="2"/>
    </row>
    <row r="465" spans="5:17" ht="14.1" customHeight="1">
      <c r="E465" s="2"/>
      <c r="I465" s="2"/>
      <c r="J465" s="2"/>
      <c r="K465" s="2"/>
      <c r="Q465" s="2"/>
    </row>
    <row r="466" spans="5:17" ht="14.1" customHeight="1">
      <c r="E466" s="2"/>
      <c r="I466" s="2"/>
      <c r="J466" s="2"/>
      <c r="K466" s="2"/>
      <c r="Q466" s="2"/>
    </row>
    <row r="467" spans="5:17" ht="14.1" customHeight="1">
      <c r="E467" s="2"/>
      <c r="I467" s="2"/>
      <c r="J467" s="2"/>
      <c r="K467" s="2"/>
      <c r="Q467" s="2"/>
    </row>
    <row r="468" spans="5:17" ht="14.1" customHeight="1">
      <c r="E468" s="2"/>
      <c r="I468" s="2"/>
      <c r="J468" s="2"/>
      <c r="K468" s="2"/>
      <c r="Q468" s="2"/>
    </row>
    <row r="469" spans="5:17" ht="14.1" customHeight="1">
      <c r="E469" s="2"/>
      <c r="I469" s="2"/>
      <c r="J469" s="2"/>
      <c r="K469" s="2"/>
      <c r="Q469" s="2"/>
    </row>
    <row r="470" spans="5:17" ht="14.1" customHeight="1">
      <c r="E470" s="2"/>
      <c r="I470" s="2"/>
      <c r="J470" s="2"/>
      <c r="K470" s="2"/>
      <c r="Q470" s="2"/>
    </row>
    <row r="471" spans="5:17" ht="14.1" customHeight="1">
      <c r="E471" s="2"/>
      <c r="I471" s="2"/>
      <c r="J471" s="2"/>
      <c r="K471" s="2"/>
      <c r="Q471" s="2"/>
    </row>
    <row r="472" spans="5:17" ht="14.1" customHeight="1">
      <c r="E472" s="2"/>
      <c r="I472" s="2"/>
      <c r="J472" s="2"/>
      <c r="K472" s="2"/>
      <c r="Q472" s="2"/>
    </row>
    <row r="473" spans="5:17" ht="14.1" customHeight="1">
      <c r="E473" s="2"/>
      <c r="I473" s="2"/>
      <c r="J473" s="2"/>
      <c r="K473" s="2"/>
      <c r="Q473" s="2"/>
    </row>
    <row r="474" spans="5:17" ht="14.1" customHeight="1">
      <c r="E474" s="2"/>
      <c r="I474" s="2"/>
      <c r="J474" s="2"/>
      <c r="K474" s="2"/>
      <c r="Q474" s="2"/>
    </row>
    <row r="475" spans="5:17" ht="14.1" customHeight="1">
      <c r="E475" s="2"/>
      <c r="I475" s="2"/>
      <c r="J475" s="2"/>
      <c r="K475" s="2"/>
      <c r="Q475" s="2"/>
    </row>
    <row r="476" spans="5:17" ht="14.1" customHeight="1">
      <c r="E476" s="2"/>
      <c r="I476" s="2"/>
      <c r="J476" s="2"/>
      <c r="K476" s="2"/>
      <c r="Q476" s="2"/>
    </row>
    <row r="477" spans="5:17" ht="14.1" customHeight="1">
      <c r="E477" s="2"/>
      <c r="I477" s="2"/>
      <c r="J477" s="2"/>
      <c r="K477" s="2"/>
      <c r="Q477" s="2"/>
    </row>
    <row r="478" spans="5:17" ht="14.1" customHeight="1">
      <c r="E478" s="2"/>
      <c r="I478" s="2"/>
      <c r="J478" s="2"/>
      <c r="K478" s="2"/>
      <c r="Q478" s="2"/>
    </row>
    <row r="479" spans="5:17" ht="14.1" customHeight="1">
      <c r="E479" s="2"/>
      <c r="I479" s="2"/>
      <c r="J479" s="2"/>
      <c r="K479" s="2"/>
      <c r="Q479" s="2"/>
    </row>
    <row r="480" spans="5:17" ht="14.1" customHeight="1">
      <c r="E480" s="2"/>
      <c r="I480" s="2"/>
      <c r="J480" s="2"/>
      <c r="K480" s="2"/>
      <c r="Q480" s="2"/>
    </row>
    <row r="481" spans="5:17" ht="14.1" customHeight="1">
      <c r="E481" s="2"/>
      <c r="I481" s="2"/>
      <c r="J481" s="2"/>
      <c r="K481" s="2"/>
      <c r="Q481" s="2"/>
    </row>
    <row r="482" spans="5:17" ht="14.1" customHeight="1">
      <c r="E482" s="2"/>
      <c r="I482" s="2"/>
      <c r="J482" s="2"/>
      <c r="K482" s="2"/>
      <c r="Q482" s="2"/>
    </row>
    <row r="483" spans="5:17" ht="14.1" customHeight="1">
      <c r="E483" s="2"/>
      <c r="I483" s="2"/>
      <c r="J483" s="2"/>
      <c r="K483" s="2"/>
      <c r="Q483" s="2"/>
    </row>
    <row r="484" spans="5:17" ht="14.1" customHeight="1">
      <c r="E484" s="2"/>
      <c r="I484" s="2"/>
      <c r="J484" s="2"/>
      <c r="K484" s="2"/>
      <c r="Q484" s="2"/>
    </row>
    <row r="485" spans="5:17" ht="14.1" customHeight="1">
      <c r="E485" s="2"/>
      <c r="I485" s="2"/>
      <c r="J485" s="2"/>
      <c r="K485" s="2"/>
      <c r="Q485" s="2"/>
    </row>
    <row r="486" spans="5:17" ht="14.1" customHeight="1">
      <c r="E486" s="2"/>
      <c r="I486" s="2"/>
      <c r="J486" s="2"/>
      <c r="K486" s="2"/>
      <c r="Q486" s="2"/>
    </row>
    <row r="487" spans="5:17" ht="14.1" customHeight="1">
      <c r="E487" s="2"/>
      <c r="I487" s="2"/>
      <c r="J487" s="2"/>
      <c r="K487" s="2"/>
      <c r="Q487" s="2"/>
    </row>
    <row r="488" spans="5:17" ht="14.1" customHeight="1">
      <c r="E488" s="2"/>
      <c r="I488" s="2"/>
      <c r="J488" s="2"/>
      <c r="K488" s="2"/>
      <c r="Q488" s="2"/>
    </row>
    <row r="489" spans="5:17" ht="14.1" customHeight="1">
      <c r="E489" s="2"/>
      <c r="I489" s="2"/>
      <c r="J489" s="2"/>
      <c r="K489" s="2"/>
      <c r="Q489" s="2"/>
    </row>
    <row r="490" spans="5:17" ht="14.1" customHeight="1">
      <c r="E490" s="2"/>
      <c r="I490" s="2"/>
      <c r="J490" s="2"/>
      <c r="K490" s="2"/>
      <c r="Q490" s="2"/>
    </row>
    <row r="491" spans="5:17" ht="14.1" customHeight="1">
      <c r="E491" s="2"/>
      <c r="I491" s="2"/>
      <c r="J491" s="2"/>
      <c r="K491" s="2"/>
      <c r="Q491" s="2"/>
    </row>
    <row r="492" spans="5:17" ht="14.1" customHeight="1">
      <c r="E492" s="2"/>
      <c r="I492" s="2"/>
      <c r="J492" s="2"/>
      <c r="K492" s="2"/>
      <c r="Q492" s="2"/>
    </row>
    <row r="493" spans="5:17" ht="14.1" customHeight="1">
      <c r="E493" s="2"/>
      <c r="I493" s="2"/>
      <c r="J493" s="2"/>
      <c r="K493" s="2"/>
      <c r="Q493" s="2"/>
    </row>
    <row r="494" spans="5:17" ht="14.1" customHeight="1">
      <c r="E494" s="2"/>
      <c r="I494" s="2"/>
      <c r="J494" s="2"/>
      <c r="K494" s="2"/>
      <c r="Q494" s="2"/>
    </row>
    <row r="495" spans="5:17" ht="14.1" customHeight="1">
      <c r="E495" s="2"/>
      <c r="I495" s="2"/>
      <c r="J495" s="2"/>
      <c r="K495" s="2"/>
      <c r="Q495" s="2"/>
    </row>
    <row r="496" spans="5:17" ht="14.1" customHeight="1">
      <c r="E496" s="2"/>
      <c r="I496" s="2"/>
      <c r="J496" s="2"/>
      <c r="K496" s="2"/>
      <c r="Q496" s="2"/>
    </row>
    <row r="497" spans="5:17" ht="14.1" customHeight="1">
      <c r="E497" s="2"/>
      <c r="I497" s="2"/>
      <c r="J497" s="2"/>
      <c r="K497" s="2"/>
      <c r="Q497" s="2"/>
    </row>
    <row r="498" spans="5:17" ht="14.1" customHeight="1">
      <c r="E498" s="2"/>
      <c r="I498" s="2"/>
      <c r="J498" s="2"/>
      <c r="K498" s="2"/>
      <c r="Q498" s="2"/>
    </row>
    <row r="499" spans="5:17" ht="14.1" customHeight="1">
      <c r="E499" s="2"/>
      <c r="I499" s="2"/>
      <c r="J499" s="2"/>
      <c r="K499" s="2"/>
      <c r="Q499" s="2"/>
    </row>
    <row r="500" spans="5:17" ht="14.1" customHeight="1">
      <c r="E500" s="2"/>
      <c r="I500" s="2"/>
      <c r="J500" s="2"/>
      <c r="K500" s="2"/>
      <c r="Q500" s="2"/>
    </row>
    <row r="501" spans="5:17" ht="14.1" customHeight="1">
      <c r="E501" s="2"/>
      <c r="I501" s="2"/>
      <c r="J501" s="2"/>
      <c r="K501" s="2"/>
      <c r="Q501" s="2"/>
    </row>
    <row r="502" spans="5:17" ht="14.1" customHeight="1">
      <c r="E502" s="2"/>
      <c r="I502" s="2"/>
      <c r="J502" s="2"/>
      <c r="K502" s="2"/>
      <c r="Q502" s="2"/>
    </row>
    <row r="503" spans="5:17" ht="14.1" customHeight="1">
      <c r="E503" s="2"/>
      <c r="I503" s="2"/>
      <c r="J503" s="2"/>
      <c r="K503" s="2"/>
      <c r="Q503" s="2"/>
    </row>
    <row r="504" spans="5:17" ht="14.1" customHeight="1">
      <c r="E504" s="2"/>
      <c r="I504" s="2"/>
      <c r="J504" s="2"/>
      <c r="K504" s="2"/>
      <c r="Q504" s="2"/>
    </row>
    <row r="505" spans="5:17" ht="14.1" customHeight="1">
      <c r="E505" s="2"/>
      <c r="I505" s="2"/>
      <c r="J505" s="2"/>
      <c r="K505" s="2"/>
      <c r="Q505" s="2"/>
    </row>
    <row r="506" spans="5:17" ht="14.1" customHeight="1">
      <c r="E506" s="2"/>
      <c r="I506" s="2"/>
      <c r="J506" s="2"/>
      <c r="K506" s="2"/>
      <c r="Q506" s="2"/>
    </row>
    <row r="507" spans="5:17" ht="14.1" customHeight="1">
      <c r="E507" s="2"/>
      <c r="I507" s="2"/>
      <c r="J507" s="2"/>
      <c r="K507" s="2"/>
      <c r="Q507" s="2"/>
    </row>
    <row r="508" spans="5:17" ht="14.1" customHeight="1">
      <c r="E508" s="2"/>
      <c r="I508" s="2"/>
      <c r="J508" s="2"/>
      <c r="K508" s="2"/>
      <c r="Q508" s="2"/>
    </row>
    <row r="509" spans="5:17" ht="14.1" customHeight="1">
      <c r="E509" s="2"/>
      <c r="I509" s="2"/>
      <c r="J509" s="2"/>
      <c r="K509" s="2"/>
      <c r="Q509" s="2"/>
    </row>
    <row r="510" spans="5:17" ht="14.1" customHeight="1">
      <c r="E510" s="2"/>
      <c r="I510" s="2"/>
      <c r="J510" s="2"/>
      <c r="K510" s="2"/>
      <c r="Q510" s="2"/>
    </row>
    <row r="511" spans="5:17" ht="14.1" customHeight="1">
      <c r="E511" s="2"/>
      <c r="I511" s="2"/>
      <c r="J511" s="2"/>
      <c r="K511" s="2"/>
      <c r="Q511" s="2"/>
    </row>
    <row r="512" spans="5:17" ht="14.1" customHeight="1">
      <c r="E512" s="2"/>
      <c r="I512" s="2"/>
      <c r="J512" s="2"/>
      <c r="K512" s="2"/>
      <c r="Q512" s="2"/>
    </row>
    <row r="513" spans="5:17" ht="14.1" customHeight="1">
      <c r="E513" s="2"/>
      <c r="I513" s="2"/>
      <c r="J513" s="2"/>
      <c r="K513" s="2"/>
      <c r="Q513" s="2"/>
    </row>
    <row r="514" spans="5:17" ht="14.1" customHeight="1">
      <c r="E514" s="2"/>
      <c r="I514" s="2"/>
      <c r="J514" s="2"/>
      <c r="K514" s="2"/>
      <c r="Q514" s="2"/>
    </row>
    <row r="515" spans="5:17" ht="14.1" customHeight="1">
      <c r="E515" s="2"/>
      <c r="I515" s="2"/>
      <c r="J515" s="2"/>
      <c r="K515" s="2"/>
      <c r="Q515" s="2"/>
    </row>
    <row r="516" spans="5:17" ht="14.1" customHeight="1">
      <c r="E516" s="2"/>
      <c r="I516" s="2"/>
      <c r="J516" s="2"/>
      <c r="K516" s="2"/>
      <c r="Q516" s="2"/>
    </row>
    <row r="517" spans="5:17" ht="14.1" customHeight="1">
      <c r="E517" s="2"/>
      <c r="I517" s="2"/>
      <c r="J517" s="2"/>
      <c r="K517" s="2"/>
      <c r="Q517" s="2"/>
    </row>
    <row r="518" spans="5:17" ht="14.1" customHeight="1">
      <c r="E518" s="2"/>
      <c r="I518" s="2"/>
      <c r="J518" s="2"/>
      <c r="K518" s="2"/>
      <c r="Q518" s="2"/>
    </row>
    <row r="519" spans="5:17" ht="14.1" customHeight="1">
      <c r="E519" s="2"/>
      <c r="I519" s="2"/>
      <c r="J519" s="2"/>
      <c r="K519" s="2"/>
      <c r="Q519" s="2"/>
    </row>
    <row r="520" spans="5:17" ht="14.1" customHeight="1">
      <c r="E520" s="2"/>
      <c r="I520" s="2"/>
      <c r="J520" s="2"/>
      <c r="K520" s="2"/>
      <c r="Q520" s="2"/>
    </row>
    <row r="521" spans="5:17" ht="14.1" customHeight="1">
      <c r="E521" s="2"/>
      <c r="I521" s="2"/>
      <c r="J521" s="2"/>
      <c r="K521" s="2"/>
      <c r="Q521" s="2"/>
    </row>
    <row r="522" spans="5:17" ht="14.1" customHeight="1">
      <c r="E522" s="2"/>
      <c r="I522" s="2"/>
      <c r="J522" s="2"/>
      <c r="K522" s="2"/>
      <c r="Q522" s="2"/>
    </row>
    <row r="523" spans="5:17" ht="14.1" customHeight="1">
      <c r="E523" s="2"/>
      <c r="I523" s="2"/>
      <c r="J523" s="2"/>
      <c r="K523" s="2"/>
      <c r="Q523" s="2"/>
    </row>
    <row r="524" spans="5:17" ht="14.1" customHeight="1">
      <c r="E524" s="2"/>
      <c r="I524" s="2"/>
      <c r="J524" s="2"/>
      <c r="K524" s="2"/>
      <c r="Q524" s="2"/>
    </row>
    <row r="525" spans="5:17" ht="14.1" customHeight="1">
      <c r="E525" s="2"/>
      <c r="I525" s="2"/>
      <c r="J525" s="2"/>
      <c r="K525" s="2"/>
      <c r="Q525" s="2"/>
    </row>
    <row r="526" spans="5:17" ht="14.1" customHeight="1">
      <c r="E526" s="2"/>
      <c r="I526" s="2"/>
      <c r="J526" s="2"/>
      <c r="K526" s="2"/>
      <c r="Q526" s="2"/>
    </row>
    <row r="527" spans="5:17" ht="14.1" customHeight="1">
      <c r="E527" s="2"/>
      <c r="I527" s="2"/>
      <c r="J527" s="2"/>
      <c r="K527" s="2"/>
      <c r="Q527" s="2"/>
    </row>
    <row r="528" spans="5:17" ht="14.1" customHeight="1">
      <c r="E528" s="2"/>
      <c r="I528" s="2"/>
      <c r="J528" s="2"/>
      <c r="K528" s="2"/>
      <c r="Q528" s="2"/>
    </row>
    <row r="529" spans="5:17" ht="14.1" customHeight="1">
      <c r="E529" s="2"/>
      <c r="I529" s="2"/>
      <c r="J529" s="2"/>
      <c r="K529" s="2"/>
      <c r="Q529" s="2"/>
    </row>
    <row r="530" spans="5:17" ht="14.1" customHeight="1">
      <c r="E530" s="2"/>
      <c r="I530" s="2"/>
      <c r="J530" s="2"/>
      <c r="K530" s="2"/>
      <c r="Q530" s="2"/>
    </row>
    <row r="531" spans="5:17" ht="14.1" customHeight="1">
      <c r="E531" s="2"/>
      <c r="I531" s="2"/>
      <c r="J531" s="2"/>
      <c r="K531" s="2"/>
      <c r="Q531" s="2"/>
    </row>
    <row r="532" spans="5:17" ht="14.1" customHeight="1">
      <c r="E532" s="2"/>
      <c r="I532" s="2"/>
      <c r="J532" s="2"/>
      <c r="K532" s="2"/>
      <c r="Q532" s="2"/>
    </row>
    <row r="533" spans="5:17" ht="14.1" customHeight="1">
      <c r="E533" s="2"/>
      <c r="I533" s="2"/>
      <c r="J533" s="2"/>
      <c r="K533" s="2"/>
      <c r="Q533" s="2"/>
    </row>
    <row r="534" spans="5:17" ht="14.1" customHeight="1">
      <c r="E534" s="2"/>
      <c r="I534" s="2"/>
      <c r="J534" s="2"/>
      <c r="K534" s="2"/>
      <c r="Q534" s="2"/>
    </row>
    <row r="535" spans="5:17" ht="14.1" customHeight="1">
      <c r="E535" s="2"/>
      <c r="I535" s="2"/>
      <c r="J535" s="2"/>
      <c r="K535" s="2"/>
      <c r="Q535" s="2"/>
    </row>
    <row r="536" spans="5:17" ht="14.1" customHeight="1">
      <c r="E536" s="2"/>
      <c r="I536" s="2"/>
      <c r="J536" s="2"/>
      <c r="K536" s="2"/>
      <c r="Q536" s="2"/>
    </row>
    <row r="537" spans="5:17" ht="14.1" customHeight="1">
      <c r="E537" s="2"/>
      <c r="I537" s="2"/>
      <c r="J537" s="2"/>
      <c r="K537" s="2"/>
      <c r="Q537" s="2"/>
    </row>
    <row r="538" spans="5:17" ht="14.1" customHeight="1">
      <c r="E538" s="2"/>
      <c r="I538" s="2"/>
      <c r="J538" s="2"/>
      <c r="K538" s="2"/>
      <c r="Q538" s="2"/>
    </row>
    <row r="539" spans="5:17" ht="14.1" customHeight="1">
      <c r="E539" s="2"/>
      <c r="I539" s="2"/>
      <c r="J539" s="2"/>
      <c r="K539" s="2"/>
      <c r="Q539" s="2"/>
    </row>
    <row r="540" spans="5:17" ht="14.1" customHeight="1">
      <c r="E540" s="2"/>
      <c r="I540" s="2"/>
      <c r="J540" s="2"/>
      <c r="K540" s="2"/>
      <c r="Q540" s="2"/>
    </row>
    <row r="541" spans="5:17" ht="14.1" customHeight="1">
      <c r="E541" s="2"/>
      <c r="I541" s="2"/>
      <c r="J541" s="2"/>
      <c r="K541" s="2"/>
      <c r="Q541" s="2"/>
    </row>
    <row r="542" spans="5:17" ht="14.1" customHeight="1">
      <c r="E542" s="2"/>
      <c r="I542" s="2"/>
      <c r="J542" s="2"/>
      <c r="K542" s="2"/>
      <c r="Q542" s="2"/>
    </row>
    <row r="543" spans="5:17" ht="14.1" customHeight="1">
      <c r="E543" s="2"/>
      <c r="I543" s="2"/>
      <c r="J543" s="2"/>
      <c r="K543" s="2"/>
      <c r="Q543" s="2"/>
    </row>
    <row r="544" spans="5:17" ht="14.1" customHeight="1">
      <c r="E544" s="2"/>
      <c r="I544" s="2"/>
      <c r="J544" s="2"/>
      <c r="K544" s="2"/>
      <c r="Q544" s="2"/>
    </row>
    <row r="545" spans="5:17" ht="14.1" customHeight="1">
      <c r="E545" s="2"/>
      <c r="I545" s="2"/>
      <c r="J545" s="2"/>
      <c r="K545" s="2"/>
      <c r="Q545" s="2"/>
    </row>
    <row r="546" spans="5:17" ht="14.1" customHeight="1">
      <c r="E546" s="2"/>
      <c r="I546" s="2"/>
      <c r="J546" s="2"/>
      <c r="K546" s="2"/>
      <c r="Q546" s="2"/>
    </row>
    <row r="547" spans="5:17" ht="14.1" customHeight="1">
      <c r="E547" s="2"/>
      <c r="I547" s="2"/>
      <c r="J547" s="2"/>
      <c r="K547" s="2"/>
      <c r="Q547" s="2"/>
    </row>
    <row r="548" spans="5:17" ht="14.1" customHeight="1">
      <c r="E548" s="2"/>
      <c r="I548" s="2"/>
      <c r="J548" s="2"/>
      <c r="K548" s="2"/>
      <c r="Q548" s="2"/>
    </row>
    <row r="549" spans="5:17" ht="14.1" customHeight="1">
      <c r="E549" s="2"/>
      <c r="I549" s="2"/>
      <c r="J549" s="2"/>
      <c r="K549" s="2"/>
      <c r="Q549" s="2"/>
    </row>
    <row r="550" spans="5:17" ht="14.1" customHeight="1">
      <c r="E550" s="2"/>
      <c r="I550" s="2"/>
      <c r="J550" s="2"/>
      <c r="K550" s="2"/>
      <c r="Q550" s="2"/>
    </row>
    <row r="551" spans="5:17" ht="14.1" customHeight="1">
      <c r="E551" s="2"/>
      <c r="I551" s="2"/>
      <c r="J551" s="2"/>
      <c r="K551" s="2"/>
      <c r="Q551" s="2"/>
    </row>
    <row r="552" spans="5:17" ht="14.1" customHeight="1">
      <c r="E552" s="2"/>
      <c r="I552" s="2"/>
      <c r="J552" s="2"/>
      <c r="K552" s="2"/>
      <c r="Q552" s="2"/>
    </row>
    <row r="553" spans="5:17" ht="14.1" customHeight="1">
      <c r="E553" s="2"/>
      <c r="I553" s="2"/>
      <c r="J553" s="2"/>
      <c r="K553" s="2"/>
      <c r="Q553" s="2"/>
    </row>
    <row r="554" spans="5:17" ht="14.1" customHeight="1">
      <c r="E554" s="2"/>
      <c r="I554" s="2"/>
      <c r="J554" s="2"/>
      <c r="K554" s="2"/>
      <c r="Q554" s="2"/>
    </row>
    <row r="555" spans="5:17" ht="14.1" customHeight="1">
      <c r="E555" s="2"/>
      <c r="I555" s="2"/>
      <c r="J555" s="2"/>
      <c r="K555" s="2"/>
      <c r="Q555" s="2"/>
    </row>
    <row r="556" spans="5:17" ht="14.1" customHeight="1">
      <c r="E556" s="2"/>
      <c r="I556" s="2"/>
      <c r="J556" s="2"/>
      <c r="K556" s="2"/>
      <c r="Q556" s="2"/>
    </row>
    <row r="557" spans="5:17" ht="14.1" customHeight="1">
      <c r="E557" s="2"/>
      <c r="I557" s="2"/>
      <c r="J557" s="2"/>
      <c r="K557" s="2"/>
      <c r="Q557" s="2"/>
    </row>
    <row r="558" spans="5:17" ht="14.1" customHeight="1">
      <c r="E558" s="2"/>
      <c r="I558" s="2"/>
      <c r="J558" s="2"/>
      <c r="K558" s="2"/>
      <c r="Q558" s="2"/>
    </row>
    <row r="559" spans="5:17" ht="14.1" customHeight="1">
      <c r="E559" s="2"/>
      <c r="I559" s="2"/>
      <c r="J559" s="2"/>
      <c r="K559" s="2"/>
      <c r="Q559" s="2"/>
    </row>
    <row r="560" spans="5:17" ht="14.1" customHeight="1">
      <c r="E560" s="2"/>
      <c r="I560" s="2"/>
      <c r="J560" s="2"/>
      <c r="K560" s="2"/>
      <c r="Q560" s="2"/>
    </row>
    <row r="561" spans="5:17" ht="14.1" customHeight="1">
      <c r="E561" s="2"/>
      <c r="I561" s="2"/>
      <c r="J561" s="2"/>
      <c r="K561" s="2"/>
      <c r="Q561" s="2"/>
    </row>
    <row r="562" spans="5:17" ht="14.1" customHeight="1">
      <c r="E562" s="2"/>
      <c r="I562" s="2"/>
      <c r="J562" s="2"/>
      <c r="K562" s="2"/>
      <c r="Q562" s="2"/>
    </row>
    <row r="563" spans="5:17" ht="14.1" customHeight="1">
      <c r="E563" s="2"/>
      <c r="I563" s="2"/>
      <c r="J563" s="2"/>
      <c r="K563" s="2"/>
      <c r="Q563" s="2"/>
    </row>
    <row r="564" spans="5:17" ht="14.1" customHeight="1">
      <c r="E564" s="2"/>
      <c r="I564" s="2"/>
      <c r="J564" s="2"/>
      <c r="K564" s="2"/>
      <c r="Q564" s="2"/>
    </row>
    <row r="565" spans="5:17" ht="14.1" customHeight="1">
      <c r="E565" s="2"/>
      <c r="I565" s="2"/>
      <c r="J565" s="2"/>
      <c r="K565" s="2"/>
      <c r="Q565" s="2"/>
    </row>
    <row r="566" spans="5:17" ht="14.1" customHeight="1">
      <c r="E566" s="2"/>
      <c r="I566" s="2"/>
      <c r="J566" s="2"/>
      <c r="K566" s="2"/>
      <c r="Q566" s="2"/>
    </row>
    <row r="567" spans="5:17" ht="14.1" customHeight="1">
      <c r="E567" s="2"/>
      <c r="I567" s="2"/>
      <c r="J567" s="2"/>
      <c r="K567" s="2"/>
      <c r="Q567" s="2"/>
    </row>
    <row r="568" spans="5:17" ht="14.1" customHeight="1">
      <c r="E568" s="2"/>
      <c r="I568" s="2"/>
      <c r="J568" s="2"/>
      <c r="K568" s="2"/>
      <c r="Q568" s="2"/>
    </row>
  </sheetData>
  <mergeCells count="155">
    <mergeCell ref="A1:Q1"/>
    <mergeCell ref="A2:C2"/>
    <mergeCell ref="D2:F2"/>
    <mergeCell ref="I2:Q2"/>
    <mergeCell ref="R2:T2"/>
    <mergeCell ref="A3:C3"/>
    <mergeCell ref="D3:D4"/>
    <mergeCell ref="E3:E4"/>
    <mergeCell ref="F3:F4"/>
    <mergeCell ref="G3:P4"/>
    <mergeCell ref="Q3:Q4"/>
    <mergeCell ref="R3:R4"/>
    <mergeCell ref="S3:S4"/>
    <mergeCell ref="T3:T4"/>
    <mergeCell ref="A5:C5"/>
    <mergeCell ref="N5:Q5"/>
    <mergeCell ref="A6:C6"/>
    <mergeCell ref="B7:C7"/>
    <mergeCell ref="J8:L8"/>
    <mergeCell ref="I24:J24"/>
    <mergeCell ref="C25:C27"/>
    <mergeCell ref="D25:D27"/>
    <mergeCell ref="E25:E27"/>
    <mergeCell ref="F25:F27"/>
    <mergeCell ref="B28:C28"/>
    <mergeCell ref="C29:C30"/>
    <mergeCell ref="D29:D30"/>
    <mergeCell ref="E29:E30"/>
    <mergeCell ref="F29:F30"/>
    <mergeCell ref="C31:C32"/>
    <mergeCell ref="D31:D32"/>
    <mergeCell ref="E31:E32"/>
    <mergeCell ref="F31:F32"/>
    <mergeCell ref="A33:C33"/>
    <mergeCell ref="B34:C34"/>
    <mergeCell ref="C35:C36"/>
    <mergeCell ref="D35:D36"/>
    <mergeCell ref="E35:E36"/>
    <mergeCell ref="F35:F36"/>
    <mergeCell ref="A37:C37"/>
    <mergeCell ref="B38:C38"/>
    <mergeCell ref="C39:C40"/>
    <mergeCell ref="D39:D40"/>
    <mergeCell ref="E39:E40"/>
    <mergeCell ref="F39:F40"/>
    <mergeCell ref="A41:C41"/>
    <mergeCell ref="B42:C42"/>
    <mergeCell ref="C43:C44"/>
    <mergeCell ref="D43:D44"/>
    <mergeCell ref="E43:E44"/>
    <mergeCell ref="F43:F44"/>
    <mergeCell ref="C45:C49"/>
    <mergeCell ref="D45:D49"/>
    <mergeCell ref="E45:E49"/>
    <mergeCell ref="F45:F49"/>
    <mergeCell ref="G45:H45"/>
    <mergeCell ref="C50:C51"/>
    <mergeCell ref="D50:D51"/>
    <mergeCell ref="E50:E51"/>
    <mergeCell ref="F50:F51"/>
    <mergeCell ref="C52:C54"/>
    <mergeCell ref="D52:D54"/>
    <mergeCell ref="E52:E54"/>
    <mergeCell ref="F52:F54"/>
    <mergeCell ref="A55:C55"/>
    <mergeCell ref="B56:C56"/>
    <mergeCell ref="C57:C58"/>
    <mergeCell ref="D57:D58"/>
    <mergeCell ref="E57:E58"/>
    <mergeCell ref="F57:F58"/>
    <mergeCell ref="A59:C59"/>
    <mergeCell ref="N59:Q59"/>
    <mergeCell ref="A60:A78"/>
    <mergeCell ref="B60:C60"/>
    <mergeCell ref="N60:Q60"/>
    <mergeCell ref="B61:B78"/>
    <mergeCell ref="N61:Q61"/>
    <mergeCell ref="D77:D78"/>
    <mergeCell ref="E77:E78"/>
    <mergeCell ref="F77:F78"/>
    <mergeCell ref="N77:Q77"/>
    <mergeCell ref="E61:E76"/>
    <mergeCell ref="A79:C79"/>
    <mergeCell ref="B80:C80"/>
    <mergeCell ref="C81:C82"/>
    <mergeCell ref="D81:D82"/>
    <mergeCell ref="E81:E82"/>
    <mergeCell ref="F81:F82"/>
    <mergeCell ref="C83:C84"/>
    <mergeCell ref="D83:D84"/>
    <mergeCell ref="E83:E84"/>
    <mergeCell ref="F83:F84"/>
    <mergeCell ref="A85:C85"/>
    <mergeCell ref="A86:A94"/>
    <mergeCell ref="B86:C86"/>
    <mergeCell ref="C87:C88"/>
    <mergeCell ref="D87:D88"/>
    <mergeCell ref="E87:E88"/>
    <mergeCell ref="F87:F88"/>
    <mergeCell ref="C89:C90"/>
    <mergeCell ref="D89:D90"/>
    <mergeCell ref="E89:E90"/>
    <mergeCell ref="F89:F90"/>
    <mergeCell ref="C91:C92"/>
    <mergeCell ref="D91:D92"/>
    <mergeCell ref="E91:E92"/>
    <mergeCell ref="F91:F92"/>
    <mergeCell ref="C93:C94"/>
    <mergeCell ref="D93:D94"/>
    <mergeCell ref="E93:E94"/>
    <mergeCell ref="F93:F94"/>
    <mergeCell ref="A95:C95"/>
    <mergeCell ref="B96:C96"/>
    <mergeCell ref="C97:C98"/>
    <mergeCell ref="D97:D98"/>
    <mergeCell ref="E97:E98"/>
    <mergeCell ref="F97:F98"/>
    <mergeCell ref="C99:C100"/>
    <mergeCell ref="D99:D100"/>
    <mergeCell ref="E99:E100"/>
    <mergeCell ref="F99:F100"/>
    <mergeCell ref="C101:C102"/>
    <mergeCell ref="D101:D102"/>
    <mergeCell ref="E101:E102"/>
    <mergeCell ref="F101:F102"/>
    <mergeCell ref="A103:C103"/>
    <mergeCell ref="B104:C104"/>
    <mergeCell ref="C105:C106"/>
    <mergeCell ref="D105:D106"/>
    <mergeCell ref="E105:E106"/>
    <mergeCell ref="F105:F106"/>
    <mergeCell ref="O119:Q119"/>
    <mergeCell ref="R120:T120"/>
    <mergeCell ref="A113:C113"/>
    <mergeCell ref="B114:C114"/>
    <mergeCell ref="C115:C116"/>
    <mergeCell ref="D115:D116"/>
    <mergeCell ref="C107:C108"/>
    <mergeCell ref="D107:D108"/>
    <mergeCell ref="E107:E108"/>
    <mergeCell ref="F107:F108"/>
    <mergeCell ref="E115:E116"/>
    <mergeCell ref="F115:F116"/>
    <mergeCell ref="C117:C118"/>
    <mergeCell ref="D117:D118"/>
    <mergeCell ref="E109:E110"/>
    <mergeCell ref="F109:F110"/>
    <mergeCell ref="C111:C112"/>
    <mergeCell ref="D111:D112"/>
    <mergeCell ref="E111:E112"/>
    <mergeCell ref="F111:F112"/>
    <mergeCell ref="E117:E118"/>
    <mergeCell ref="F117:F118"/>
    <mergeCell ref="C109:C110"/>
    <mergeCell ref="D109:D110"/>
  </mergeCells>
  <phoneticPr fontId="2" type="noConversion"/>
  <printOptions horizontalCentered="1"/>
  <pageMargins left="0" right="0" top="0.11811023622047245" bottom="0.11811023622047245" header="0" footer="0"/>
  <pageSetup paperSize="9" scale="97" orientation="portrait" useFirstPageNumber="1" r:id="rId1"/>
  <headerFooter alignWithMargins="0"/>
  <rowBreaks count="2" manualBreakCount="2">
    <brk id="34" max="16" man="1"/>
    <brk id="64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6"/>
  <sheetViews>
    <sheetView zoomScaleSheetLayoutView="100" workbookViewId="0">
      <pane xSplit="1" ySplit="7" topLeftCell="B92" activePane="bottomRight" state="frozen"/>
      <selection pane="topRight" activeCell="B1" sqref="B1"/>
      <selection pane="bottomLeft" activeCell="A8" sqref="A8"/>
      <selection pane="bottomRight" activeCell="V4" sqref="V4"/>
    </sheetView>
  </sheetViews>
  <sheetFormatPr defaultColWidth="8.88671875" defaultRowHeight="15.75" customHeight="1"/>
  <cols>
    <col min="1" max="1" width="3.44140625" style="1" customWidth="1"/>
    <col min="2" max="2" width="3.77734375" style="1" customWidth="1"/>
    <col min="3" max="3" width="10.21875" style="1" customWidth="1"/>
    <col min="4" max="4" width="6.77734375" style="733" bestFit="1" customWidth="1"/>
    <col min="5" max="5" width="9.6640625" style="1" customWidth="1"/>
    <col min="6" max="6" width="9.5546875" style="1" customWidth="1"/>
    <col min="7" max="7" width="11.33203125" style="1" customWidth="1"/>
    <col min="8" max="8" width="9.44140625" style="99" customWidth="1"/>
    <col min="9" max="10" width="1.6640625" style="1" customWidth="1"/>
    <col min="11" max="11" width="3.6640625" style="1" customWidth="1"/>
    <col min="12" max="13" width="1.6640625" style="1" customWidth="1"/>
    <col min="14" max="14" width="3.109375" style="1" customWidth="1"/>
    <col min="15" max="15" width="1.6640625" style="1" customWidth="1"/>
    <col min="16" max="16" width="1.6640625" style="26" customWidth="1"/>
    <col min="17" max="17" width="12" style="1" customWidth="1"/>
    <col min="18" max="18" width="12.33203125" style="1" customWidth="1"/>
    <col min="19" max="19" width="12" style="1" customWidth="1"/>
    <col min="20" max="20" width="8.88671875" style="1"/>
    <col min="21" max="21" width="15.33203125" style="1" bestFit="1" customWidth="1"/>
    <col min="22" max="22" width="10.109375" style="1" bestFit="1" customWidth="1"/>
    <col min="23" max="16384" width="8.88671875" style="1"/>
  </cols>
  <sheetData>
    <row r="1" spans="1:23" s="2" customFormat="1" ht="40.5" customHeight="1">
      <c r="A1" s="1197" t="s">
        <v>387</v>
      </c>
      <c r="B1" s="1197"/>
      <c r="C1" s="1197"/>
      <c r="D1" s="1197"/>
      <c r="E1" s="1197"/>
      <c r="F1" s="1197"/>
      <c r="G1" s="1197"/>
      <c r="H1" s="1197"/>
      <c r="I1" s="1197"/>
      <c r="J1" s="1197"/>
      <c r="K1" s="1197"/>
      <c r="L1" s="1197"/>
      <c r="M1" s="1197"/>
      <c r="N1" s="1197"/>
      <c r="O1" s="1197"/>
      <c r="P1" s="1197"/>
      <c r="Q1" s="1197"/>
      <c r="R1" s="403"/>
      <c r="S1" s="403"/>
      <c r="T1" s="403"/>
    </row>
    <row r="2" spans="1:23" s="2" customFormat="1" ht="24" customHeight="1" thickBot="1">
      <c r="A2" s="1201" t="s">
        <v>423</v>
      </c>
      <c r="B2" s="1201"/>
      <c r="C2" s="1201"/>
      <c r="D2" s="1200" t="s">
        <v>195</v>
      </c>
      <c r="E2" s="1200"/>
      <c r="F2" s="1200"/>
      <c r="G2" s="41"/>
      <c r="H2" s="1202" t="str">
        <f>표제!A42</f>
        <v>YJ주야간보호센터</v>
      </c>
      <c r="I2" s="1202"/>
      <c r="J2" s="1202"/>
      <c r="K2" s="1202"/>
      <c r="L2" s="1202"/>
      <c r="M2" s="1202"/>
      <c r="N2" s="1202"/>
      <c r="O2" s="1202"/>
      <c r="P2" s="1202"/>
      <c r="Q2" s="1202"/>
      <c r="R2" s="3" t="s">
        <v>194</v>
      </c>
      <c r="S2" s="1196">
        <f>추경세입예산서!N5-O5</f>
        <v>33366259.461333334</v>
      </c>
      <c r="T2" s="1196"/>
      <c r="U2" s="1108" t="s">
        <v>458</v>
      </c>
      <c r="V2" s="1108"/>
    </row>
    <row r="3" spans="1:23" s="94" customFormat="1" ht="21.75" customHeight="1">
      <c r="A3" s="1214" t="s">
        <v>26</v>
      </c>
      <c r="B3" s="1215"/>
      <c r="C3" s="1215"/>
      <c r="D3" s="1287" t="s">
        <v>436</v>
      </c>
      <c r="E3" s="1289" t="s">
        <v>437</v>
      </c>
      <c r="F3" s="1291" t="s">
        <v>161</v>
      </c>
      <c r="G3" s="1206" t="s">
        <v>193</v>
      </c>
      <c r="H3" s="1207"/>
      <c r="I3" s="1207"/>
      <c r="J3" s="1207"/>
      <c r="K3" s="1207"/>
      <c r="L3" s="1207"/>
      <c r="M3" s="1207"/>
      <c r="N3" s="1207"/>
      <c r="O3" s="1207"/>
      <c r="P3" s="1207"/>
      <c r="Q3" s="1204" t="s">
        <v>190</v>
      </c>
      <c r="R3" s="1203" t="s">
        <v>184</v>
      </c>
      <c r="S3" s="1120"/>
      <c r="T3" s="1303"/>
      <c r="U3" s="663" t="s">
        <v>459</v>
      </c>
      <c r="V3" s="664">
        <f>Q10+Q11+Q13+Q14+Q24+Q28+Q30+Q33+Q37+Q41</f>
        <v>234880977.472</v>
      </c>
    </row>
    <row r="4" spans="1:23" s="94" customFormat="1" ht="21.75" customHeight="1" thickBot="1">
      <c r="A4" s="276" t="s">
        <v>17</v>
      </c>
      <c r="B4" s="277" t="s">
        <v>18</v>
      </c>
      <c r="C4" s="277" t="s">
        <v>19</v>
      </c>
      <c r="D4" s="1304"/>
      <c r="E4" s="1305"/>
      <c r="F4" s="1306"/>
      <c r="G4" s="1208"/>
      <c r="H4" s="1209"/>
      <c r="I4" s="1209"/>
      <c r="J4" s="1209"/>
      <c r="K4" s="1209"/>
      <c r="L4" s="1209"/>
      <c r="M4" s="1209"/>
      <c r="N4" s="1209"/>
      <c r="O4" s="1209"/>
      <c r="P4" s="1209"/>
      <c r="Q4" s="1205"/>
      <c r="R4" s="404" t="s">
        <v>186</v>
      </c>
      <c r="S4" s="281" t="s">
        <v>185</v>
      </c>
      <c r="T4" s="661" t="s">
        <v>187</v>
      </c>
      <c r="U4" s="663" t="s">
        <v>460</v>
      </c>
      <c r="V4" s="664">
        <f>추경세입예산서!Q8+추경세입예산서!N61+추경세입예산서!N77</f>
        <v>347750771.60000002</v>
      </c>
    </row>
    <row r="5" spans="1:23" s="2" customFormat="1" ht="23.25" customHeight="1" thickBot="1">
      <c r="A5" s="1211" t="s">
        <v>29</v>
      </c>
      <c r="B5" s="1212"/>
      <c r="C5" s="1212"/>
      <c r="D5" s="602">
        <f>세출예산서!E5</f>
        <v>108276200.4875</v>
      </c>
      <c r="E5" s="226">
        <f>E6+E88+E93+E112+E116+E119+E126+E129+E133+E137</f>
        <v>367497159.13866669</v>
      </c>
      <c r="F5" s="227">
        <f>E5-D5</f>
        <v>259220958.65116668</v>
      </c>
      <c r="G5" s="334"/>
      <c r="H5" s="333"/>
      <c r="I5" s="333"/>
      <c r="J5" s="333"/>
      <c r="K5" s="333"/>
      <c r="L5" s="333"/>
      <c r="M5" s="333"/>
      <c r="N5" s="333"/>
      <c r="O5" s="1224">
        <f>O6+Q88+O93+Q112+Q116+O119+Q126+Q129+P133+Q137</f>
        <v>367497159.13866669</v>
      </c>
      <c r="P5" s="1224"/>
      <c r="Q5" s="1225"/>
      <c r="R5" s="405"/>
      <c r="S5" s="285"/>
      <c r="T5" s="662"/>
      <c r="U5" s="285"/>
      <c r="V5" s="665">
        <f>V3/V4</f>
        <v>0.67542906200125308</v>
      </c>
    </row>
    <row r="6" spans="1:23" s="2" customFormat="1" ht="23.25" customHeight="1">
      <c r="A6" s="1127" t="s">
        <v>346</v>
      </c>
      <c r="B6" s="1128"/>
      <c r="C6" s="1128"/>
      <c r="D6" s="597">
        <f>세출예산서!E6</f>
        <v>86581021.487499997</v>
      </c>
      <c r="E6" s="335">
        <f>E7+E43+E52</f>
        <v>308523044.13866669</v>
      </c>
      <c r="F6" s="336">
        <f>E6-D6</f>
        <v>221942022.65116668</v>
      </c>
      <c r="G6" s="237"/>
      <c r="H6" s="238"/>
      <c r="I6" s="238"/>
      <c r="J6" s="238"/>
      <c r="K6" s="238"/>
      <c r="L6" s="238"/>
      <c r="M6" s="238"/>
      <c r="N6" s="238"/>
      <c r="O6" s="1226">
        <f>O7+Q43+O52</f>
        <v>308523044.13866669</v>
      </c>
      <c r="P6" s="1226"/>
      <c r="Q6" s="1227"/>
      <c r="R6" s="406">
        <f>추경세입예산서!R119-R7</f>
        <v>10553759.933333397</v>
      </c>
      <c r="S6" s="406">
        <f>추경세입예산서!S119-S7</f>
        <v>22812499.527999997</v>
      </c>
      <c r="T6" s="286">
        <f>T7-세입예산서!T138</f>
        <v>0</v>
      </c>
    </row>
    <row r="7" spans="1:23" s="2" customFormat="1" ht="23.25" customHeight="1">
      <c r="A7" s="337"/>
      <c r="B7" s="1071" t="s">
        <v>347</v>
      </c>
      <c r="C7" s="1072"/>
      <c r="D7" s="703">
        <f>세출예산서!E7</f>
        <v>56391021.487499997</v>
      </c>
      <c r="E7" s="44">
        <f>E8+E20+E22+E24+E25</f>
        <v>280081377.472</v>
      </c>
      <c r="F7" s="100">
        <f>E7-D7</f>
        <v>223690355.98449999</v>
      </c>
      <c r="G7" s="158"/>
      <c r="H7" s="156"/>
      <c r="I7" s="156"/>
      <c r="J7" s="156"/>
      <c r="K7" s="156"/>
      <c r="L7" s="156"/>
      <c r="M7" s="156"/>
      <c r="N7" s="156"/>
      <c r="O7" s="1198">
        <f>Q8+Q20+Q22+Q24+Q26+Q31+Q35+Q39</f>
        <v>280081377.472</v>
      </c>
      <c r="P7" s="1198"/>
      <c r="Q7" s="1199"/>
      <c r="R7" s="407">
        <f>SUM(R8:R136)</f>
        <v>304212361.66666663</v>
      </c>
      <c r="S7" s="284">
        <f>SUM(S8:S136)</f>
        <v>63284797.472000003</v>
      </c>
      <c r="T7" s="290">
        <f>SUM(T8:T136)</f>
        <v>0</v>
      </c>
    </row>
    <row r="8" spans="1:23" s="2" customFormat="1" ht="23.25" customHeight="1">
      <c r="A8" s="338"/>
      <c r="B8" s="10"/>
      <c r="C8" s="1091" t="s">
        <v>90</v>
      </c>
      <c r="D8" s="1300">
        <f>세출예산서!E8</f>
        <v>47700000</v>
      </c>
      <c r="E8" s="1259">
        <f>Q8</f>
        <v>241200000</v>
      </c>
      <c r="F8" s="1259">
        <f>E8-D8</f>
        <v>193500000</v>
      </c>
      <c r="G8" s="1228" t="s">
        <v>8</v>
      </c>
      <c r="H8" s="1229"/>
      <c r="I8" s="159"/>
      <c r="J8" s="159"/>
      <c r="K8" s="159"/>
      <c r="L8" s="159"/>
      <c r="M8" s="159"/>
      <c r="N8" s="159"/>
      <c r="O8" s="159"/>
      <c r="P8" s="159" t="s">
        <v>3</v>
      </c>
      <c r="Q8" s="339">
        <f>SUM(Q9:Q19)</f>
        <v>241200000</v>
      </c>
      <c r="R8" s="408">
        <f>Q8</f>
        <v>241200000</v>
      </c>
      <c r="S8" s="285"/>
      <c r="T8" s="285"/>
    </row>
    <row r="9" spans="1:23" s="2" customFormat="1" ht="23.25" customHeight="1">
      <c r="A9" s="338"/>
      <c r="B9" s="7"/>
      <c r="C9" s="1092"/>
      <c r="D9" s="1301"/>
      <c r="E9" s="1264"/>
      <c r="F9" s="1264"/>
      <c r="G9" s="160" t="s">
        <v>296</v>
      </c>
      <c r="H9" s="479">
        <v>3500000</v>
      </c>
      <c r="I9" s="161" t="s">
        <v>0</v>
      </c>
      <c r="J9" s="161" t="s">
        <v>1</v>
      </c>
      <c r="K9" s="162">
        <v>1</v>
      </c>
      <c r="L9" s="161" t="s">
        <v>2</v>
      </c>
      <c r="M9" s="161" t="s">
        <v>1</v>
      </c>
      <c r="N9" s="162">
        <v>12</v>
      </c>
      <c r="O9" s="161" t="s">
        <v>20</v>
      </c>
      <c r="P9" s="163" t="s">
        <v>3</v>
      </c>
      <c r="Q9" s="340">
        <f>(H9*K9)*N9</f>
        <v>42000000</v>
      </c>
      <c r="R9" s="405"/>
      <c r="S9" s="285"/>
      <c r="T9" s="285"/>
    </row>
    <row r="10" spans="1:23" s="2" customFormat="1" ht="23.25" customHeight="1">
      <c r="A10" s="338"/>
      <c r="B10" s="7"/>
      <c r="C10" s="1092"/>
      <c r="D10" s="1301"/>
      <c r="E10" s="1264"/>
      <c r="F10" s="1264"/>
      <c r="G10" s="164" t="s">
        <v>294</v>
      </c>
      <c r="H10" s="476">
        <v>1600000</v>
      </c>
      <c r="I10" s="166" t="s">
        <v>0</v>
      </c>
      <c r="J10" s="166" t="s">
        <v>1</v>
      </c>
      <c r="K10" s="167">
        <v>2</v>
      </c>
      <c r="L10" s="166" t="s">
        <v>2</v>
      </c>
      <c r="M10" s="166" t="s">
        <v>1</v>
      </c>
      <c r="N10" s="167">
        <v>12</v>
      </c>
      <c r="O10" s="166" t="s">
        <v>16</v>
      </c>
      <c r="P10" s="168" t="s">
        <v>51</v>
      </c>
      <c r="Q10" s="341">
        <f t="shared" ref="Q10:Q19" si="0">H10*K10*N10</f>
        <v>38400000</v>
      </c>
      <c r="R10" s="405"/>
      <c r="S10" s="285"/>
      <c r="T10" s="285"/>
      <c r="V10" s="284"/>
    </row>
    <row r="11" spans="1:23" s="2" customFormat="1" ht="23.25" customHeight="1">
      <c r="A11" s="338"/>
      <c r="B11" s="7"/>
      <c r="C11" s="1092"/>
      <c r="D11" s="1301"/>
      <c r="E11" s="1264"/>
      <c r="F11" s="1264"/>
      <c r="G11" s="459" t="s">
        <v>291</v>
      </c>
      <c r="H11" s="476">
        <f>10200000/6</f>
        <v>1700000</v>
      </c>
      <c r="I11" s="166" t="s">
        <v>0</v>
      </c>
      <c r="J11" s="166" t="s">
        <v>1</v>
      </c>
      <c r="K11" s="167">
        <v>6</v>
      </c>
      <c r="L11" s="166" t="s">
        <v>2</v>
      </c>
      <c r="M11" s="166" t="s">
        <v>1</v>
      </c>
      <c r="N11" s="167">
        <v>12</v>
      </c>
      <c r="O11" s="166" t="s">
        <v>93</v>
      </c>
      <c r="P11" s="168" t="s">
        <v>51</v>
      </c>
      <c r="Q11" s="341">
        <f t="shared" si="0"/>
        <v>122400000</v>
      </c>
      <c r="R11" s="405"/>
      <c r="S11" s="285"/>
      <c r="T11" s="285"/>
      <c r="V11" s="283"/>
      <c r="W11" s="2">
        <v>0</v>
      </c>
    </row>
    <row r="12" spans="1:23" s="2" customFormat="1" ht="23.25" customHeight="1">
      <c r="A12" s="338"/>
      <c r="B12" s="7"/>
      <c r="C12" s="1092"/>
      <c r="D12" s="1301"/>
      <c r="E12" s="1264"/>
      <c r="F12" s="1264"/>
      <c r="G12" s="164" t="s">
        <v>290</v>
      </c>
      <c r="H12" s="476"/>
      <c r="I12" s="166" t="s">
        <v>0</v>
      </c>
      <c r="J12" s="166" t="s">
        <v>1</v>
      </c>
      <c r="K12" s="167">
        <v>0</v>
      </c>
      <c r="L12" s="166" t="s">
        <v>2</v>
      </c>
      <c r="M12" s="166" t="s">
        <v>1</v>
      </c>
      <c r="N12" s="167">
        <v>12</v>
      </c>
      <c r="O12" s="166" t="s">
        <v>20</v>
      </c>
      <c r="P12" s="168" t="s">
        <v>51</v>
      </c>
      <c r="Q12" s="341">
        <f t="shared" si="0"/>
        <v>0</v>
      </c>
      <c r="R12" s="405"/>
      <c r="S12" s="285"/>
      <c r="T12" s="285"/>
    </row>
    <row r="13" spans="1:23" s="2" customFormat="1" ht="23.25" customHeight="1">
      <c r="A13" s="338"/>
      <c r="B13" s="7"/>
      <c r="C13" s="1092"/>
      <c r="D13" s="1301"/>
      <c r="E13" s="1264"/>
      <c r="F13" s="1264"/>
      <c r="G13" s="164" t="s">
        <v>198</v>
      </c>
      <c r="H13" s="476">
        <v>1600000</v>
      </c>
      <c r="I13" s="166" t="s">
        <v>0</v>
      </c>
      <c r="J13" s="166" t="s">
        <v>1</v>
      </c>
      <c r="K13" s="167">
        <v>1</v>
      </c>
      <c r="L13" s="166" t="s">
        <v>2</v>
      </c>
      <c r="M13" s="166" t="s">
        <v>1</v>
      </c>
      <c r="N13" s="167">
        <v>12</v>
      </c>
      <c r="O13" s="166" t="s">
        <v>20</v>
      </c>
      <c r="P13" s="168" t="s">
        <v>51</v>
      </c>
      <c r="Q13" s="341">
        <f t="shared" si="0"/>
        <v>19200000</v>
      </c>
      <c r="R13" s="405"/>
      <c r="S13" s="285"/>
      <c r="T13" s="285"/>
    </row>
    <row r="14" spans="1:23" s="2" customFormat="1" ht="23.25" customHeight="1">
      <c r="A14" s="338"/>
      <c r="B14" s="7"/>
      <c r="C14" s="1092"/>
      <c r="D14" s="1301"/>
      <c r="E14" s="1264"/>
      <c r="F14" s="1264"/>
      <c r="G14" s="164" t="s">
        <v>288</v>
      </c>
      <c r="H14" s="476">
        <v>1600000</v>
      </c>
      <c r="I14" s="166" t="s">
        <v>0</v>
      </c>
      <c r="J14" s="166" t="s">
        <v>1</v>
      </c>
      <c r="K14" s="167">
        <v>1</v>
      </c>
      <c r="L14" s="166" t="s">
        <v>2</v>
      </c>
      <c r="M14" s="166" t="s">
        <v>1</v>
      </c>
      <c r="N14" s="167">
        <v>12</v>
      </c>
      <c r="O14" s="166" t="s">
        <v>20</v>
      </c>
      <c r="P14" s="168" t="s">
        <v>51</v>
      </c>
      <c r="Q14" s="341">
        <f>H14*K14*N14</f>
        <v>19200000</v>
      </c>
      <c r="R14" s="405"/>
      <c r="S14" s="285"/>
      <c r="T14" s="285"/>
    </row>
    <row r="15" spans="1:23" s="2" customFormat="1" ht="23.25" customHeight="1">
      <c r="A15" s="338"/>
      <c r="B15" s="7"/>
      <c r="C15" s="1092"/>
      <c r="D15" s="1301"/>
      <c r="E15" s="1264"/>
      <c r="F15" s="1264"/>
      <c r="G15" s="164" t="s">
        <v>292</v>
      </c>
      <c r="H15" s="476">
        <v>0</v>
      </c>
      <c r="I15" s="166" t="s">
        <v>0</v>
      </c>
      <c r="J15" s="166" t="s">
        <v>1</v>
      </c>
      <c r="K15" s="167">
        <v>1</v>
      </c>
      <c r="L15" s="166" t="s">
        <v>2</v>
      </c>
      <c r="M15" s="166" t="s">
        <v>1</v>
      </c>
      <c r="N15" s="167">
        <v>12</v>
      </c>
      <c r="O15" s="166" t="s">
        <v>20</v>
      </c>
      <c r="P15" s="168" t="s">
        <v>51</v>
      </c>
      <c r="Q15" s="341">
        <f>H15*K15*N15</f>
        <v>0</v>
      </c>
      <c r="R15" s="405"/>
      <c r="S15" s="285"/>
      <c r="T15" s="285"/>
    </row>
    <row r="16" spans="1:23" s="2" customFormat="1" ht="23.25" customHeight="1">
      <c r="A16" s="338"/>
      <c r="B16" s="7"/>
      <c r="C16" s="1092"/>
      <c r="D16" s="1301"/>
      <c r="E16" s="1264"/>
      <c r="F16" s="1264"/>
      <c r="G16" s="164"/>
      <c r="H16" s="471"/>
      <c r="I16" s="166" t="s">
        <v>0</v>
      </c>
      <c r="J16" s="166" t="s">
        <v>1</v>
      </c>
      <c r="K16" s="167"/>
      <c r="L16" s="166" t="s">
        <v>2</v>
      </c>
      <c r="M16" s="166" t="s">
        <v>1</v>
      </c>
      <c r="N16" s="167">
        <v>12</v>
      </c>
      <c r="O16" s="166" t="s">
        <v>20</v>
      </c>
      <c r="P16" s="168" t="s">
        <v>51</v>
      </c>
      <c r="Q16" s="342">
        <f t="shared" si="0"/>
        <v>0</v>
      </c>
      <c r="R16" s="405"/>
      <c r="S16" s="285"/>
      <c r="T16" s="285"/>
    </row>
    <row r="17" spans="1:20" s="2" customFormat="1" ht="23.25" customHeight="1">
      <c r="A17" s="338"/>
      <c r="B17" s="7"/>
      <c r="C17" s="1092"/>
      <c r="D17" s="1301"/>
      <c r="E17" s="1264"/>
      <c r="F17" s="1264"/>
      <c r="G17" s="164"/>
      <c r="H17" s="471"/>
      <c r="I17" s="166" t="s">
        <v>0</v>
      </c>
      <c r="J17" s="166" t="s">
        <v>1</v>
      </c>
      <c r="K17" s="167"/>
      <c r="L17" s="166" t="s">
        <v>2</v>
      </c>
      <c r="M17" s="166" t="s">
        <v>1</v>
      </c>
      <c r="N17" s="167">
        <v>12</v>
      </c>
      <c r="O17" s="166" t="s">
        <v>20</v>
      </c>
      <c r="P17" s="168" t="s">
        <v>51</v>
      </c>
      <c r="Q17" s="342">
        <f>H17*K17*N17</f>
        <v>0</v>
      </c>
      <c r="R17" s="405"/>
      <c r="S17" s="285"/>
      <c r="T17" s="285"/>
    </row>
    <row r="18" spans="1:20" s="2" customFormat="1" ht="23.25" customHeight="1">
      <c r="A18" s="338"/>
      <c r="B18" s="7"/>
      <c r="C18" s="1092"/>
      <c r="D18" s="1301"/>
      <c r="E18" s="1264"/>
      <c r="F18" s="1264"/>
      <c r="G18" s="164"/>
      <c r="H18" s="471"/>
      <c r="I18" s="166" t="s">
        <v>0</v>
      </c>
      <c r="J18" s="166" t="s">
        <v>1</v>
      </c>
      <c r="K18" s="167"/>
      <c r="L18" s="166" t="s">
        <v>2</v>
      </c>
      <c r="M18" s="166" t="s">
        <v>1</v>
      </c>
      <c r="N18" s="167">
        <v>12</v>
      </c>
      <c r="O18" s="166" t="s">
        <v>20</v>
      </c>
      <c r="P18" s="168" t="s">
        <v>51</v>
      </c>
      <c r="Q18" s="341">
        <f t="shared" si="0"/>
        <v>0</v>
      </c>
      <c r="R18" s="405"/>
      <c r="S18" s="285"/>
      <c r="T18" s="285"/>
    </row>
    <row r="19" spans="1:20" s="2" customFormat="1" ht="23.25" customHeight="1">
      <c r="A19" s="338"/>
      <c r="B19" s="7"/>
      <c r="C19" s="1093"/>
      <c r="D19" s="1302"/>
      <c r="E19" s="1260"/>
      <c r="F19" s="1260"/>
      <c r="G19" s="164" t="s">
        <v>285</v>
      </c>
      <c r="H19" s="165">
        <v>0</v>
      </c>
      <c r="I19" s="166" t="s">
        <v>0</v>
      </c>
      <c r="J19" s="166" t="s">
        <v>1</v>
      </c>
      <c r="K19" s="167">
        <v>1</v>
      </c>
      <c r="L19" s="166" t="s">
        <v>2</v>
      </c>
      <c r="M19" s="166" t="s">
        <v>1</v>
      </c>
      <c r="N19" s="167">
        <v>12</v>
      </c>
      <c r="O19" s="166" t="s">
        <v>16</v>
      </c>
      <c r="P19" s="168" t="s">
        <v>3</v>
      </c>
      <c r="Q19" s="341">
        <f t="shared" si="0"/>
        <v>0</v>
      </c>
      <c r="R19" s="405"/>
      <c r="S19" s="285"/>
      <c r="T19" s="285"/>
    </row>
    <row r="20" spans="1:20" s="2" customFormat="1" ht="23.25" customHeight="1">
      <c r="A20" s="338"/>
      <c r="B20" s="7"/>
      <c r="C20" s="1106" t="s">
        <v>333</v>
      </c>
      <c r="D20" s="1259" t="e">
        <f>세출예산서!#REF!</f>
        <v>#REF!</v>
      </c>
      <c r="E20" s="1259">
        <f>Q20</f>
        <v>0</v>
      </c>
      <c r="F20" s="1259" t="e">
        <f>E20-D20</f>
        <v>#REF!</v>
      </c>
      <c r="G20" s="160" t="s">
        <v>94</v>
      </c>
      <c r="H20" s="169"/>
      <c r="I20" s="170"/>
      <c r="J20" s="170"/>
      <c r="K20" s="170"/>
      <c r="L20" s="170"/>
      <c r="M20" s="170"/>
      <c r="N20" s="170"/>
      <c r="O20" s="170"/>
      <c r="P20" s="163" t="s">
        <v>3</v>
      </c>
      <c r="Q20" s="343">
        <f>SUM(Q21:Q21)</f>
        <v>0</v>
      </c>
      <c r="R20" s="408">
        <f>Q20</f>
        <v>0</v>
      </c>
      <c r="S20" s="285"/>
      <c r="T20" s="285"/>
    </row>
    <row r="21" spans="1:20" s="2" customFormat="1" ht="23.25" customHeight="1">
      <c r="A21" s="338"/>
      <c r="B21" s="7"/>
      <c r="C21" s="1066"/>
      <c r="D21" s="1260"/>
      <c r="E21" s="1260"/>
      <c r="F21" s="1260"/>
      <c r="G21" s="164" t="s">
        <v>95</v>
      </c>
      <c r="H21" s="171">
        <v>0</v>
      </c>
      <c r="I21" s="166" t="s">
        <v>0</v>
      </c>
      <c r="J21" s="166" t="s">
        <v>1</v>
      </c>
      <c r="K21" s="167">
        <v>1</v>
      </c>
      <c r="L21" s="166" t="s">
        <v>2</v>
      </c>
      <c r="M21" s="166" t="s">
        <v>1</v>
      </c>
      <c r="N21" s="167">
        <v>12</v>
      </c>
      <c r="O21" s="166" t="s">
        <v>12</v>
      </c>
      <c r="P21" s="168" t="s">
        <v>3</v>
      </c>
      <c r="Q21" s="341">
        <f>H21*K21*N21</f>
        <v>0</v>
      </c>
      <c r="R21" s="405"/>
      <c r="S21" s="285"/>
      <c r="T21" s="285"/>
    </row>
    <row r="22" spans="1:20" s="2" customFormat="1" ht="23.25" customHeight="1">
      <c r="A22" s="338"/>
      <c r="B22" s="7"/>
      <c r="C22" s="1106" t="s">
        <v>96</v>
      </c>
      <c r="D22" s="1259">
        <f>세출예산서!E21</f>
        <v>0</v>
      </c>
      <c r="E22" s="1259">
        <f>Q22</f>
        <v>0</v>
      </c>
      <c r="F22" s="1259">
        <f>E22-D22</f>
        <v>0</v>
      </c>
      <c r="G22" s="160" t="s">
        <v>97</v>
      </c>
      <c r="H22" s="169"/>
      <c r="I22" s="170"/>
      <c r="J22" s="170"/>
      <c r="K22" s="170"/>
      <c r="L22" s="170"/>
      <c r="M22" s="170"/>
      <c r="N22" s="170"/>
      <c r="O22" s="170"/>
      <c r="P22" s="163" t="s">
        <v>3</v>
      </c>
      <c r="Q22" s="343">
        <f>SUM(Q23:Q23)</f>
        <v>0</v>
      </c>
      <c r="R22" s="408">
        <f>Q22</f>
        <v>0</v>
      </c>
      <c r="S22" s="285"/>
      <c r="T22" s="285"/>
    </row>
    <row r="23" spans="1:20" s="2" customFormat="1" ht="23.25" customHeight="1">
      <c r="A23" s="338"/>
      <c r="B23" s="7"/>
      <c r="C23" s="1073"/>
      <c r="D23" s="1260"/>
      <c r="E23" s="1260"/>
      <c r="F23" s="1260"/>
      <c r="G23" s="164" t="s">
        <v>98</v>
      </c>
      <c r="H23" s="165">
        <v>0</v>
      </c>
      <c r="I23" s="166" t="s">
        <v>0</v>
      </c>
      <c r="J23" s="166" t="s">
        <v>1</v>
      </c>
      <c r="K23" s="167">
        <v>1</v>
      </c>
      <c r="L23" s="166" t="s">
        <v>2</v>
      </c>
      <c r="M23" s="166" t="s">
        <v>1</v>
      </c>
      <c r="N23" s="167">
        <v>12</v>
      </c>
      <c r="O23" s="166" t="s">
        <v>16</v>
      </c>
      <c r="P23" s="168" t="s">
        <v>3</v>
      </c>
      <c r="Q23" s="341">
        <f>H23*K23*N23</f>
        <v>0</v>
      </c>
      <c r="R23" s="405"/>
      <c r="S23" s="285"/>
      <c r="T23" s="285"/>
    </row>
    <row r="24" spans="1:20" s="2" customFormat="1" ht="30.75" customHeight="1">
      <c r="A24" s="338"/>
      <c r="B24" s="7"/>
      <c r="C24" s="315" t="s">
        <v>334</v>
      </c>
      <c r="D24" s="702">
        <f>세출예산서!E23</f>
        <v>0</v>
      </c>
      <c r="E24" s="267">
        <f>Q24</f>
        <v>16600000</v>
      </c>
      <c r="F24" s="267">
        <f>E24-D24</f>
        <v>16600000</v>
      </c>
      <c r="G24" s="5" t="s">
        <v>9</v>
      </c>
      <c r="H24" s="481">
        <f>SUM(Q10:Q14)/12/12</f>
        <v>1383333.3333333333</v>
      </c>
      <c r="I24" s="172" t="s">
        <v>0</v>
      </c>
      <c r="J24" s="172" t="s">
        <v>32</v>
      </c>
      <c r="K24" s="172">
        <v>1</v>
      </c>
      <c r="L24" s="172"/>
      <c r="M24" s="172" t="s">
        <v>32</v>
      </c>
      <c r="N24" s="172">
        <v>12</v>
      </c>
      <c r="O24" s="172" t="s">
        <v>16</v>
      </c>
      <c r="P24" s="159" t="s">
        <v>3</v>
      </c>
      <c r="Q24" s="475">
        <f>N24*H24</f>
        <v>16600000</v>
      </c>
      <c r="R24" s="408">
        <f>Q24</f>
        <v>16600000</v>
      </c>
      <c r="S24" s="287"/>
      <c r="T24" s="285"/>
    </row>
    <row r="25" spans="1:20" s="2" customFormat="1" ht="23.25" customHeight="1">
      <c r="A25" s="338"/>
      <c r="B25" s="7"/>
      <c r="C25" s="265" t="s">
        <v>335</v>
      </c>
      <c r="D25" s="267">
        <f>세출예산서!E24</f>
        <v>0</v>
      </c>
      <c r="E25" s="272">
        <f>Q26+Q31+Q35+Q39</f>
        <v>22281377.472000003</v>
      </c>
      <c r="F25" s="272">
        <f>E25-D25</f>
        <v>22281377.472000003</v>
      </c>
      <c r="G25" s="627" t="s">
        <v>441</v>
      </c>
      <c r="H25" s="622"/>
      <c r="I25" s="172"/>
      <c r="J25" s="172"/>
      <c r="K25" s="172"/>
      <c r="L25" s="172"/>
      <c r="M25" s="172"/>
      <c r="N25" s="172"/>
      <c r="O25" s="172"/>
      <c r="P25" s="159"/>
      <c r="Q25" s="626">
        <f>Q26+Q31+Q35+Q39</f>
        <v>22281377.472000003</v>
      </c>
      <c r="R25" s="408"/>
      <c r="S25" s="287">
        <f>Q25</f>
        <v>22281377.472000003</v>
      </c>
      <c r="T25" s="285"/>
    </row>
    <row r="26" spans="1:20" s="2" customFormat="1" ht="23.25" customHeight="1">
      <c r="A26" s="338"/>
      <c r="B26" s="7"/>
      <c r="C26" s="265"/>
      <c r="D26" s="267"/>
      <c r="E26" s="272"/>
      <c r="F26" s="272"/>
      <c r="G26" s="173" t="s">
        <v>22</v>
      </c>
      <c r="H26" s="169"/>
      <c r="I26" s="170"/>
      <c r="J26" s="170"/>
      <c r="K26" s="170"/>
      <c r="L26" s="170"/>
      <c r="M26" s="170"/>
      <c r="N26" s="170"/>
      <c r="O26" s="170"/>
      <c r="P26" s="636" t="s">
        <v>3</v>
      </c>
      <c r="Q26" s="623">
        <f>SUM(Q27:Q30)</f>
        <v>8080817.472000001</v>
      </c>
      <c r="R26" s="408"/>
      <c r="S26" s="287"/>
      <c r="T26" s="285"/>
    </row>
    <row r="27" spans="1:20" s="2" customFormat="1" ht="23.25" customHeight="1">
      <c r="A27" s="338"/>
      <c r="B27" s="7"/>
      <c r="C27" s="7"/>
      <c r="D27" s="587"/>
      <c r="E27" s="274"/>
      <c r="F27" s="274"/>
      <c r="G27" s="174" t="s">
        <v>91</v>
      </c>
      <c r="H27" s="171">
        <f>H9</f>
        <v>3500000</v>
      </c>
      <c r="I27" s="175" t="s">
        <v>0</v>
      </c>
      <c r="J27" s="176" t="s">
        <v>1</v>
      </c>
      <c r="K27" s="1220">
        <f>6.24%/2</f>
        <v>3.1200000000000002E-2</v>
      </c>
      <c r="L27" s="1220"/>
      <c r="M27" s="175" t="s">
        <v>1</v>
      </c>
      <c r="N27" s="177">
        <v>12</v>
      </c>
      <c r="O27" s="175" t="s">
        <v>20</v>
      </c>
      <c r="P27" s="637" t="s">
        <v>3</v>
      </c>
      <c r="Q27" s="624">
        <f>H27*K27*N27</f>
        <v>1310400</v>
      </c>
      <c r="R27" s="405"/>
      <c r="S27" s="285"/>
      <c r="T27" s="285"/>
    </row>
    <row r="28" spans="1:20" s="2" customFormat="1" ht="23.25" customHeight="1">
      <c r="A28" s="338"/>
      <c r="B28" s="7"/>
      <c r="C28" s="7"/>
      <c r="D28" s="587"/>
      <c r="E28" s="274"/>
      <c r="F28" s="274"/>
      <c r="G28" s="174" t="s">
        <v>92</v>
      </c>
      <c r="H28" s="171">
        <f>SUM(Q10:Q19)/12</f>
        <v>16600000</v>
      </c>
      <c r="I28" s="175" t="s">
        <v>0</v>
      </c>
      <c r="J28" s="176" t="s">
        <v>1</v>
      </c>
      <c r="K28" s="1220">
        <f>6.24%/2</f>
        <v>3.1200000000000002E-2</v>
      </c>
      <c r="L28" s="1220"/>
      <c r="M28" s="175" t="s">
        <v>1</v>
      </c>
      <c r="N28" s="177">
        <v>12</v>
      </c>
      <c r="O28" s="175" t="s">
        <v>20</v>
      </c>
      <c r="P28" s="637" t="s">
        <v>3</v>
      </c>
      <c r="Q28" s="624">
        <f>H28*K28*N28</f>
        <v>6215040.0000000009</v>
      </c>
      <c r="R28" s="405"/>
      <c r="S28" s="285"/>
      <c r="T28" s="285"/>
    </row>
    <row r="29" spans="1:20" s="2" customFormat="1" ht="23.25" customHeight="1">
      <c r="A29" s="338"/>
      <c r="B29" s="7"/>
      <c r="C29" s="7"/>
      <c r="D29" s="587"/>
      <c r="E29" s="274"/>
      <c r="F29" s="274"/>
      <c r="G29" s="174" t="s">
        <v>99</v>
      </c>
      <c r="H29" s="171">
        <f>Q22/12</f>
        <v>0</v>
      </c>
      <c r="I29" s="175" t="s">
        <v>0</v>
      </c>
      <c r="J29" s="176" t="s">
        <v>1</v>
      </c>
      <c r="K29" s="1220">
        <f>6.24%/2</f>
        <v>3.1200000000000002E-2</v>
      </c>
      <c r="L29" s="1220"/>
      <c r="M29" s="157"/>
      <c r="N29" s="177">
        <v>12</v>
      </c>
      <c r="O29" s="175" t="s">
        <v>20</v>
      </c>
      <c r="P29" s="637" t="s">
        <v>3</v>
      </c>
      <c r="Q29" s="624">
        <f>H29*K29*N29</f>
        <v>0</v>
      </c>
      <c r="R29" s="405"/>
      <c r="S29" s="285"/>
      <c r="T29" s="285"/>
    </row>
    <row r="30" spans="1:20" s="2" customFormat="1" ht="23.25" customHeight="1">
      <c r="A30" s="338"/>
      <c r="B30" s="7"/>
      <c r="C30" s="7"/>
      <c r="D30" s="587"/>
      <c r="E30" s="274"/>
      <c r="F30" s="274"/>
      <c r="G30" s="174" t="s">
        <v>31</v>
      </c>
      <c r="H30" s="171">
        <f>(Q27+Q28+Q29)/12</f>
        <v>627120.00000000012</v>
      </c>
      <c r="I30" s="175" t="s">
        <v>0</v>
      </c>
      <c r="J30" s="176" t="s">
        <v>1</v>
      </c>
      <c r="K30" s="1223">
        <v>7.3800000000000004E-2</v>
      </c>
      <c r="L30" s="1223"/>
      <c r="M30" s="175" t="s">
        <v>1</v>
      </c>
      <c r="N30" s="177">
        <v>12</v>
      </c>
      <c r="O30" s="175" t="s">
        <v>20</v>
      </c>
      <c r="P30" s="637" t="s">
        <v>3</v>
      </c>
      <c r="Q30" s="624">
        <f>H30*K30*N30</f>
        <v>555377.47200000018</v>
      </c>
      <c r="R30" s="405"/>
      <c r="S30" s="285"/>
      <c r="T30" s="285"/>
    </row>
    <row r="31" spans="1:20" s="2" customFormat="1" ht="23.25" customHeight="1">
      <c r="A31" s="338"/>
      <c r="B31" s="7"/>
      <c r="C31" s="7"/>
      <c r="D31" s="587"/>
      <c r="E31" s="274"/>
      <c r="F31" s="274"/>
      <c r="G31" s="179" t="s">
        <v>11</v>
      </c>
      <c r="H31" s="180"/>
      <c r="I31" s="181"/>
      <c r="J31" s="181"/>
      <c r="K31" s="182"/>
      <c r="L31" s="181"/>
      <c r="M31" s="175"/>
      <c r="N31" s="181"/>
      <c r="O31" s="181"/>
      <c r="P31" s="637" t="s">
        <v>3</v>
      </c>
      <c r="Q31" s="624">
        <f>SUM(Q32:Q34)</f>
        <v>10854000</v>
      </c>
      <c r="R31" s="408"/>
      <c r="S31" s="287"/>
      <c r="T31" s="285"/>
    </row>
    <row r="32" spans="1:20" s="2" customFormat="1" ht="23.25" customHeight="1">
      <c r="A32" s="338"/>
      <c r="B32" s="7"/>
      <c r="C32" s="7"/>
      <c r="D32" s="587"/>
      <c r="E32" s="274"/>
      <c r="F32" s="274"/>
      <c r="G32" s="174" t="s">
        <v>91</v>
      </c>
      <c r="H32" s="171">
        <f>H27</f>
        <v>3500000</v>
      </c>
      <c r="I32" s="175" t="s">
        <v>0</v>
      </c>
      <c r="J32" s="176" t="s">
        <v>1</v>
      </c>
      <c r="K32" s="1195">
        <v>4.4999999999999998E-2</v>
      </c>
      <c r="L32" s="1195"/>
      <c r="M32" s="175" t="s">
        <v>1</v>
      </c>
      <c r="N32" s="177">
        <v>12</v>
      </c>
      <c r="O32" s="175" t="s">
        <v>20</v>
      </c>
      <c r="P32" s="637" t="s">
        <v>3</v>
      </c>
      <c r="Q32" s="624">
        <f>H32*K32*N32</f>
        <v>1890000</v>
      </c>
      <c r="R32" s="405"/>
      <c r="S32" s="285"/>
      <c r="T32" s="285"/>
    </row>
    <row r="33" spans="1:22" s="2" customFormat="1" ht="23.25" customHeight="1">
      <c r="A33" s="338"/>
      <c r="B33" s="7"/>
      <c r="C33" s="7"/>
      <c r="D33" s="587"/>
      <c r="E33" s="274"/>
      <c r="F33" s="274"/>
      <c r="G33" s="174" t="s">
        <v>92</v>
      </c>
      <c r="H33" s="171">
        <f>H28</f>
        <v>16600000</v>
      </c>
      <c r="I33" s="175" t="s">
        <v>0</v>
      </c>
      <c r="J33" s="176" t="s">
        <v>1</v>
      </c>
      <c r="K33" s="1195">
        <v>4.4999999999999998E-2</v>
      </c>
      <c r="L33" s="1195"/>
      <c r="M33" s="175" t="s">
        <v>1</v>
      </c>
      <c r="N33" s="177">
        <v>12</v>
      </c>
      <c r="O33" s="175" t="s">
        <v>20</v>
      </c>
      <c r="P33" s="637" t="s">
        <v>3</v>
      </c>
      <c r="Q33" s="624">
        <f>H33*K33*N33</f>
        <v>8964000</v>
      </c>
      <c r="R33" s="405"/>
      <c r="S33" s="285"/>
      <c r="T33" s="285"/>
    </row>
    <row r="34" spans="1:22" s="2" customFormat="1" ht="23.25" customHeight="1">
      <c r="A34" s="338"/>
      <c r="B34" s="7"/>
      <c r="C34" s="7"/>
      <c r="D34" s="587"/>
      <c r="E34" s="274"/>
      <c r="F34" s="274"/>
      <c r="G34" s="174" t="s">
        <v>10</v>
      </c>
      <c r="H34" s="171">
        <f>H29</f>
        <v>0</v>
      </c>
      <c r="I34" s="175" t="s">
        <v>0</v>
      </c>
      <c r="J34" s="176" t="s">
        <v>1</v>
      </c>
      <c r="K34" s="1195">
        <v>4.4999999999999998E-2</v>
      </c>
      <c r="L34" s="1195"/>
      <c r="M34" s="175" t="s">
        <v>1</v>
      </c>
      <c r="N34" s="177">
        <v>12</v>
      </c>
      <c r="O34" s="175" t="s">
        <v>20</v>
      </c>
      <c r="P34" s="637" t="s">
        <v>3</v>
      </c>
      <c r="Q34" s="624">
        <f>H34*K34*N34</f>
        <v>0</v>
      </c>
      <c r="R34" s="405"/>
      <c r="S34" s="285"/>
      <c r="T34" s="285"/>
    </row>
    <row r="35" spans="1:22" s="2" customFormat="1" ht="23.25" customHeight="1">
      <c r="A35" s="338"/>
      <c r="B35" s="7"/>
      <c r="C35" s="7"/>
      <c r="D35" s="587"/>
      <c r="E35" s="274"/>
      <c r="F35" s="274"/>
      <c r="G35" s="183" t="s">
        <v>5</v>
      </c>
      <c r="H35" s="180"/>
      <c r="I35" s="181"/>
      <c r="J35" s="181"/>
      <c r="K35" s="182"/>
      <c r="L35" s="181"/>
      <c r="M35" s="175"/>
      <c r="N35" s="181"/>
      <c r="O35" s="181"/>
      <c r="P35" s="637" t="s">
        <v>3</v>
      </c>
      <c r="Q35" s="624">
        <f>SUM(Q36:Q38)</f>
        <v>1553760</v>
      </c>
      <c r="R35" s="408"/>
      <c r="S35" s="287"/>
      <c r="T35" s="285"/>
    </row>
    <row r="36" spans="1:22" s="2" customFormat="1" ht="23.25" customHeight="1">
      <c r="A36" s="338"/>
      <c r="B36" s="7"/>
      <c r="C36" s="7"/>
      <c r="D36" s="587"/>
      <c r="E36" s="274"/>
      <c r="F36" s="274"/>
      <c r="G36" s="174" t="s">
        <v>91</v>
      </c>
      <c r="H36" s="470">
        <v>0</v>
      </c>
      <c r="I36" s="175" t="s">
        <v>0</v>
      </c>
      <c r="J36" s="176" t="s">
        <v>1</v>
      </c>
      <c r="K36" s="1190">
        <v>7.7999999999999996E-3</v>
      </c>
      <c r="L36" s="1190"/>
      <c r="M36" s="175" t="s">
        <v>1</v>
      </c>
      <c r="N36" s="177">
        <v>12</v>
      </c>
      <c r="O36" s="175" t="s">
        <v>20</v>
      </c>
      <c r="P36" s="637" t="s">
        <v>3</v>
      </c>
      <c r="Q36" s="624">
        <f>H36*K36*N36</f>
        <v>0</v>
      </c>
      <c r="R36" s="405"/>
      <c r="S36" s="285"/>
      <c r="T36" s="285"/>
      <c r="V36" s="285"/>
    </row>
    <row r="37" spans="1:22" s="2" customFormat="1" ht="23.25" customHeight="1">
      <c r="A37" s="338"/>
      <c r="B37" s="7"/>
      <c r="C37" s="7"/>
      <c r="D37" s="587"/>
      <c r="E37" s="274"/>
      <c r="F37" s="274"/>
      <c r="G37" s="174" t="s">
        <v>92</v>
      </c>
      <c r="H37" s="171">
        <f>SUM(Q10:Q19)/12</f>
        <v>16600000</v>
      </c>
      <c r="I37" s="175" t="s">
        <v>0</v>
      </c>
      <c r="J37" s="176" t="s">
        <v>1</v>
      </c>
      <c r="K37" s="1190">
        <v>7.7999999999999996E-3</v>
      </c>
      <c r="L37" s="1190"/>
      <c r="M37" s="175" t="s">
        <v>1</v>
      </c>
      <c r="N37" s="177">
        <v>12</v>
      </c>
      <c r="O37" s="175" t="s">
        <v>20</v>
      </c>
      <c r="P37" s="637" t="s">
        <v>3</v>
      </c>
      <c r="Q37" s="624">
        <f>H37*K37*N37</f>
        <v>1553760</v>
      </c>
      <c r="R37" s="405"/>
      <c r="S37" s="285"/>
      <c r="T37" s="285"/>
    </row>
    <row r="38" spans="1:22" s="2" customFormat="1" ht="23.25" customHeight="1">
      <c r="A38" s="338"/>
      <c r="B38" s="7"/>
      <c r="C38" s="7"/>
      <c r="D38" s="587"/>
      <c r="E38" s="274"/>
      <c r="F38" s="274"/>
      <c r="G38" s="174" t="s">
        <v>10</v>
      </c>
      <c r="H38" s="171">
        <f>H29</f>
        <v>0</v>
      </c>
      <c r="I38" s="175" t="s">
        <v>0</v>
      </c>
      <c r="J38" s="176" t="s">
        <v>1</v>
      </c>
      <c r="K38" s="1190">
        <v>7.7999999999999996E-3</v>
      </c>
      <c r="L38" s="1190"/>
      <c r="M38" s="175" t="s">
        <v>1</v>
      </c>
      <c r="N38" s="177">
        <v>12</v>
      </c>
      <c r="O38" s="175" t="s">
        <v>20</v>
      </c>
      <c r="P38" s="637" t="s">
        <v>3</v>
      </c>
      <c r="Q38" s="624">
        <f>H38*K38*N38</f>
        <v>0</v>
      </c>
      <c r="R38" s="405"/>
      <c r="S38" s="285"/>
      <c r="T38" s="285"/>
    </row>
    <row r="39" spans="1:22" s="2" customFormat="1" ht="23.25" customHeight="1">
      <c r="A39" s="338"/>
      <c r="B39" s="7"/>
      <c r="C39" s="7"/>
      <c r="D39" s="587"/>
      <c r="E39" s="274"/>
      <c r="F39" s="274"/>
      <c r="G39" s="179" t="s">
        <v>6</v>
      </c>
      <c r="H39" s="180"/>
      <c r="I39" s="181"/>
      <c r="J39" s="181"/>
      <c r="K39" s="182"/>
      <c r="L39" s="181"/>
      <c r="M39" s="175"/>
      <c r="N39" s="181"/>
      <c r="O39" s="181"/>
      <c r="P39" s="637" t="s">
        <v>3</v>
      </c>
      <c r="Q39" s="624">
        <f>SUM(Q40:Q42)</f>
        <v>1792800</v>
      </c>
      <c r="R39" s="408"/>
      <c r="S39" s="287"/>
      <c r="T39" s="285"/>
    </row>
    <row r="40" spans="1:22" s="2" customFormat="1" ht="23.25" customHeight="1">
      <c r="A40" s="338"/>
      <c r="B40" s="7"/>
      <c r="C40" s="7"/>
      <c r="D40" s="587"/>
      <c r="E40" s="274"/>
      <c r="F40" s="274"/>
      <c r="G40" s="174" t="s">
        <v>91</v>
      </c>
      <c r="H40" s="470">
        <f>H36</f>
        <v>0</v>
      </c>
      <c r="I40" s="175" t="s">
        <v>0</v>
      </c>
      <c r="J40" s="176" t="s">
        <v>1</v>
      </c>
      <c r="K40" s="1190">
        <v>8.9999999999999993E-3</v>
      </c>
      <c r="L40" s="1190"/>
      <c r="M40" s="175" t="s">
        <v>1</v>
      </c>
      <c r="N40" s="177">
        <v>12</v>
      </c>
      <c r="O40" s="175" t="s">
        <v>20</v>
      </c>
      <c r="P40" s="637" t="s">
        <v>3</v>
      </c>
      <c r="Q40" s="624">
        <f>H40*K40*N40</f>
        <v>0</v>
      </c>
      <c r="R40" s="405"/>
      <c r="S40" s="285"/>
      <c r="T40" s="285"/>
    </row>
    <row r="41" spans="1:22" s="2" customFormat="1" ht="23.25" customHeight="1">
      <c r="A41" s="338"/>
      <c r="B41" s="7"/>
      <c r="C41" s="7"/>
      <c r="D41" s="587"/>
      <c r="E41" s="274"/>
      <c r="F41" s="274"/>
      <c r="G41" s="174" t="s">
        <v>92</v>
      </c>
      <c r="H41" s="171">
        <f>H37</f>
        <v>16600000</v>
      </c>
      <c r="I41" s="175" t="s">
        <v>0</v>
      </c>
      <c r="J41" s="176" t="s">
        <v>1</v>
      </c>
      <c r="K41" s="1190">
        <v>8.9999999999999993E-3</v>
      </c>
      <c r="L41" s="1190"/>
      <c r="M41" s="175" t="s">
        <v>1</v>
      </c>
      <c r="N41" s="177">
        <v>12</v>
      </c>
      <c r="O41" s="175" t="s">
        <v>20</v>
      </c>
      <c r="P41" s="637" t="s">
        <v>3</v>
      </c>
      <c r="Q41" s="624">
        <f>H41*K41*N41</f>
        <v>1792800</v>
      </c>
      <c r="R41" s="405"/>
      <c r="S41" s="285"/>
      <c r="T41" s="285"/>
    </row>
    <row r="42" spans="1:22" s="2" customFormat="1" ht="23.25" customHeight="1">
      <c r="A42" s="338"/>
      <c r="B42" s="7"/>
      <c r="C42" s="9"/>
      <c r="D42" s="586"/>
      <c r="E42" s="394"/>
      <c r="F42" s="394"/>
      <c r="G42" s="174" t="s">
        <v>10</v>
      </c>
      <c r="H42" s="171">
        <f>H29</f>
        <v>0</v>
      </c>
      <c r="I42" s="184" t="s">
        <v>0</v>
      </c>
      <c r="J42" s="185" t="s">
        <v>1</v>
      </c>
      <c r="K42" s="1190">
        <v>8.9999999999999993E-3</v>
      </c>
      <c r="L42" s="1190"/>
      <c r="M42" s="184" t="s">
        <v>1</v>
      </c>
      <c r="N42" s="186">
        <v>12</v>
      </c>
      <c r="O42" s="184" t="s">
        <v>20</v>
      </c>
      <c r="P42" s="638" t="s">
        <v>3</v>
      </c>
      <c r="Q42" s="625">
        <f>H42*K42*N42</f>
        <v>0</v>
      </c>
      <c r="S42" s="285"/>
      <c r="T42" s="285"/>
    </row>
    <row r="43" spans="1:22" s="2" customFormat="1" ht="23.25" customHeight="1">
      <c r="A43" s="346"/>
      <c r="B43" s="1071" t="s">
        <v>348</v>
      </c>
      <c r="C43" s="1072"/>
      <c r="D43" s="703">
        <f>세출예산서!E42</f>
        <v>0</v>
      </c>
      <c r="E43" s="44">
        <f>E44+E47+E49</f>
        <v>0</v>
      </c>
      <c r="F43" s="44">
        <f>E43-D43</f>
        <v>0</v>
      </c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628">
        <f>Q44+Q47+Q49</f>
        <v>0</v>
      </c>
      <c r="R43" s="408"/>
      <c r="S43" s="287"/>
      <c r="T43" s="285"/>
    </row>
    <row r="44" spans="1:22" s="2" customFormat="1" ht="23.25" customHeight="1">
      <c r="A44" s="338"/>
      <c r="B44" s="10"/>
      <c r="C44" s="10" t="s">
        <v>23</v>
      </c>
      <c r="D44" s="704">
        <f>세출예산서!E43</f>
        <v>0</v>
      </c>
      <c r="E44" s="45">
        <f>Q44</f>
        <v>0</v>
      </c>
      <c r="F44" s="189">
        <f>E44-D44</f>
        <v>0</v>
      </c>
      <c r="G44" s="1191" t="s">
        <v>102</v>
      </c>
      <c r="H44" s="1192"/>
      <c r="I44" s="163"/>
      <c r="J44" s="163"/>
      <c r="K44" s="163"/>
      <c r="L44" s="163"/>
      <c r="M44" s="163"/>
      <c r="N44" s="163"/>
      <c r="O44" s="163"/>
      <c r="P44" s="163" t="s">
        <v>3</v>
      </c>
      <c r="Q44" s="629">
        <f>Q45+Q46</f>
        <v>0</v>
      </c>
      <c r="R44" s="405"/>
      <c r="S44" s="287">
        <f t="shared" ref="S44:S49" si="1">Q44</f>
        <v>0</v>
      </c>
      <c r="T44" s="285"/>
    </row>
    <row r="45" spans="1:22" s="2" customFormat="1" ht="23.25" customHeight="1">
      <c r="A45" s="338"/>
      <c r="B45" s="7"/>
      <c r="C45" s="7"/>
      <c r="D45" s="705"/>
      <c r="E45" s="46"/>
      <c r="F45" s="46"/>
      <c r="G45" s="190" t="s">
        <v>103</v>
      </c>
      <c r="H45" s="191">
        <v>0</v>
      </c>
      <c r="I45" s="192" t="s">
        <v>0</v>
      </c>
      <c r="J45" s="192" t="s">
        <v>1</v>
      </c>
      <c r="K45" s="193" t="s">
        <v>4</v>
      </c>
      <c r="L45" s="192" t="s">
        <v>4</v>
      </c>
      <c r="M45" s="192" t="s">
        <v>4</v>
      </c>
      <c r="N45" s="194">
        <v>12</v>
      </c>
      <c r="O45" s="192" t="s">
        <v>20</v>
      </c>
      <c r="P45" s="195" t="s">
        <v>3</v>
      </c>
      <c r="Q45" s="347">
        <f>H45*N45</f>
        <v>0</v>
      </c>
      <c r="R45" s="405"/>
      <c r="S45" s="287"/>
      <c r="T45" s="285"/>
    </row>
    <row r="46" spans="1:22" s="2" customFormat="1" ht="23.25" customHeight="1">
      <c r="A46" s="338"/>
      <c r="B46" s="7"/>
      <c r="C46" s="9"/>
      <c r="D46" s="706"/>
      <c r="E46" s="49"/>
      <c r="F46" s="49"/>
      <c r="G46" s="196" t="s">
        <v>277</v>
      </c>
      <c r="H46" s="197">
        <v>0</v>
      </c>
      <c r="I46" s="184" t="s">
        <v>0</v>
      </c>
      <c r="J46" s="184" t="s">
        <v>1</v>
      </c>
      <c r="K46" s="198" t="s">
        <v>4</v>
      </c>
      <c r="L46" s="184" t="s">
        <v>4</v>
      </c>
      <c r="M46" s="184" t="s">
        <v>4</v>
      </c>
      <c r="N46" s="186">
        <v>1</v>
      </c>
      <c r="O46" s="184" t="s">
        <v>20</v>
      </c>
      <c r="P46" s="187" t="s">
        <v>3</v>
      </c>
      <c r="Q46" s="345">
        <f>H46*N46</f>
        <v>0</v>
      </c>
      <c r="R46" s="405"/>
      <c r="S46" s="287"/>
      <c r="T46" s="285"/>
    </row>
    <row r="47" spans="1:22" s="2" customFormat="1" ht="23.25" customHeight="1">
      <c r="A47" s="338"/>
      <c r="B47" s="50"/>
      <c r="C47" s="199" t="s">
        <v>100</v>
      </c>
      <c r="D47" s="707">
        <f>세출예산서!E46</f>
        <v>0</v>
      </c>
      <c r="E47" s="200">
        <f>Q47</f>
        <v>0</v>
      </c>
      <c r="F47" s="201">
        <f>E47-D47</f>
        <v>0</v>
      </c>
      <c r="G47" s="1193" t="s">
        <v>267</v>
      </c>
      <c r="H47" s="1194"/>
      <c r="I47" s="430"/>
      <c r="J47" s="430"/>
      <c r="K47" s="430"/>
      <c r="L47" s="430"/>
      <c r="M47" s="430"/>
      <c r="N47" s="430"/>
      <c r="O47" s="430"/>
      <c r="P47" s="431" t="s">
        <v>3</v>
      </c>
      <c r="Q47" s="630">
        <f>Q48</f>
        <v>0</v>
      </c>
      <c r="R47" s="405"/>
      <c r="S47" s="287">
        <f t="shared" si="1"/>
        <v>0</v>
      </c>
      <c r="T47" s="285"/>
    </row>
    <row r="48" spans="1:22" s="2" customFormat="1" ht="23.25" customHeight="1">
      <c r="A48" s="338"/>
      <c r="B48" s="50"/>
      <c r="C48" s="202"/>
      <c r="D48" s="708"/>
      <c r="E48" s="203"/>
      <c r="F48" s="203"/>
      <c r="G48" s="432" t="s">
        <v>268</v>
      </c>
      <c r="H48" s="433">
        <v>0</v>
      </c>
      <c r="I48" s="434" t="s">
        <v>0</v>
      </c>
      <c r="J48" s="434" t="s">
        <v>1</v>
      </c>
      <c r="K48" s="435">
        <v>1</v>
      </c>
      <c r="L48" s="434" t="s">
        <v>2</v>
      </c>
      <c r="M48" s="434" t="s">
        <v>1</v>
      </c>
      <c r="N48" s="435">
        <v>12</v>
      </c>
      <c r="O48" s="434" t="s">
        <v>16</v>
      </c>
      <c r="P48" s="436" t="s">
        <v>3</v>
      </c>
      <c r="Q48" s="437">
        <f>H48*K48*N48</f>
        <v>0</v>
      </c>
      <c r="R48" s="405"/>
      <c r="S48" s="287"/>
      <c r="T48" s="285"/>
    </row>
    <row r="49" spans="1:20" s="2" customFormat="1" ht="23.25" customHeight="1">
      <c r="A49" s="348"/>
      <c r="B49" s="79"/>
      <c r="C49" s="79" t="s">
        <v>101</v>
      </c>
      <c r="D49" s="709">
        <f>세출예산서!E48</f>
        <v>0</v>
      </c>
      <c r="E49" s="188">
        <f>Q49</f>
        <v>0</v>
      </c>
      <c r="F49" s="188">
        <f>E49-D49</f>
        <v>0</v>
      </c>
      <c r="G49" s="1191" t="s">
        <v>443</v>
      </c>
      <c r="H49" s="1192"/>
      <c r="I49" s="1192"/>
      <c r="J49" s="1192"/>
      <c r="K49" s="170"/>
      <c r="L49" s="170"/>
      <c r="M49" s="170"/>
      <c r="N49" s="170"/>
      <c r="O49" s="170"/>
      <c r="P49" s="163" t="s">
        <v>3</v>
      </c>
      <c r="Q49" s="629">
        <f>Q50+Q51</f>
        <v>0</v>
      </c>
      <c r="R49" s="408"/>
      <c r="S49" s="287">
        <f t="shared" si="1"/>
        <v>0</v>
      </c>
      <c r="T49" s="285"/>
    </row>
    <row r="50" spans="1:20" s="2" customFormat="1" ht="23.25" customHeight="1">
      <c r="A50" s="338"/>
      <c r="B50" s="50"/>
      <c r="C50" s="50"/>
      <c r="D50" s="710"/>
      <c r="E50" s="101"/>
      <c r="F50" s="101"/>
      <c r="G50" s="174" t="s">
        <v>163</v>
      </c>
      <c r="H50" s="171">
        <v>0</v>
      </c>
      <c r="I50" s="175" t="s">
        <v>0</v>
      </c>
      <c r="J50" s="175" t="s">
        <v>1</v>
      </c>
      <c r="K50" s="181" t="s">
        <v>4</v>
      </c>
      <c r="L50" s="175" t="s">
        <v>4</v>
      </c>
      <c r="M50" s="175" t="s">
        <v>4</v>
      </c>
      <c r="N50" s="177">
        <v>4</v>
      </c>
      <c r="O50" s="175" t="s">
        <v>12</v>
      </c>
      <c r="P50" s="178" t="s">
        <v>3</v>
      </c>
      <c r="Q50" s="344">
        <f>H50*N50</f>
        <v>0</v>
      </c>
      <c r="R50" s="405"/>
      <c r="S50" s="285"/>
      <c r="T50" s="285"/>
    </row>
    <row r="51" spans="1:20" s="2" customFormat="1" ht="23.25" customHeight="1">
      <c r="A51" s="338"/>
      <c r="B51" s="50"/>
      <c r="C51" s="50"/>
      <c r="D51" s="710"/>
      <c r="E51" s="101"/>
      <c r="F51" s="101"/>
      <c r="G51" s="190" t="s">
        <v>278</v>
      </c>
      <c r="H51" s="191">
        <v>0</v>
      </c>
      <c r="I51" s="192" t="s">
        <v>0</v>
      </c>
      <c r="J51" s="192" t="s">
        <v>1</v>
      </c>
      <c r="K51" s="193"/>
      <c r="L51" s="192"/>
      <c r="M51" s="192" t="s">
        <v>4</v>
      </c>
      <c r="N51" s="194">
        <v>1</v>
      </c>
      <c r="O51" s="192" t="s">
        <v>12</v>
      </c>
      <c r="P51" s="195" t="s">
        <v>3</v>
      </c>
      <c r="Q51" s="347">
        <f>H51*N51</f>
        <v>0</v>
      </c>
      <c r="R51" s="405"/>
      <c r="S51" s="285"/>
      <c r="T51" s="285"/>
    </row>
    <row r="52" spans="1:20" s="2" customFormat="1" ht="23.25" customHeight="1">
      <c r="A52" s="338"/>
      <c r="B52" s="1071" t="s">
        <v>349</v>
      </c>
      <c r="C52" s="1072"/>
      <c r="D52" s="703">
        <f>세출예산서!E51</f>
        <v>0</v>
      </c>
      <c r="E52" s="44">
        <f>E53+E55+E64+E78+E80+E75</f>
        <v>28441666.666666668</v>
      </c>
      <c r="F52" s="118">
        <f>E52-D52</f>
        <v>28441666.666666668</v>
      </c>
      <c r="G52" s="264"/>
      <c r="H52" s="224"/>
      <c r="I52" s="156"/>
      <c r="J52" s="156"/>
      <c r="K52" s="156"/>
      <c r="L52" s="156"/>
      <c r="M52" s="156"/>
      <c r="N52" s="156"/>
      <c r="O52" s="1182">
        <f>Q53+Q55+Q64+Q78+Q80+Q75</f>
        <v>28441666.666666668</v>
      </c>
      <c r="P52" s="1182"/>
      <c r="Q52" s="1183"/>
      <c r="R52" s="409"/>
      <c r="S52" s="291"/>
      <c r="T52" s="285"/>
    </row>
    <row r="53" spans="1:20" s="2" customFormat="1" ht="23.25" customHeight="1">
      <c r="A53" s="338"/>
      <c r="B53" s="10"/>
      <c r="C53" s="10" t="s">
        <v>24</v>
      </c>
      <c r="D53" s="704">
        <f>세출예산서!E52</f>
        <v>0</v>
      </c>
      <c r="E53" s="45">
        <f>Q53</f>
        <v>0</v>
      </c>
      <c r="F53" s="188">
        <f>E53-D53</f>
        <v>0</v>
      </c>
      <c r="G53" s="205" t="s">
        <v>104</v>
      </c>
      <c r="H53" s="169"/>
      <c r="I53" s="170"/>
      <c r="J53" s="170"/>
      <c r="K53" s="170"/>
      <c r="L53" s="170"/>
      <c r="M53" s="170"/>
      <c r="N53" s="170"/>
      <c r="O53" s="170"/>
      <c r="P53" s="163" t="s">
        <v>3</v>
      </c>
      <c r="Q53" s="349">
        <f xml:space="preserve"> SUM(Q54)</f>
        <v>0</v>
      </c>
      <c r="R53" s="408">
        <f>Q53</f>
        <v>0</v>
      </c>
      <c r="S53" s="285"/>
      <c r="T53" s="285"/>
    </row>
    <row r="54" spans="1:20" s="2" customFormat="1" ht="23.25" customHeight="1">
      <c r="A54" s="338"/>
      <c r="B54" s="7"/>
      <c r="C54" s="7"/>
      <c r="D54" s="706"/>
      <c r="E54" s="49"/>
      <c r="F54" s="49"/>
      <c r="G54" s="196" t="s">
        <v>28</v>
      </c>
      <c r="H54" s="197">
        <v>0</v>
      </c>
      <c r="I54" s="184" t="s">
        <v>0</v>
      </c>
      <c r="J54" s="184" t="s">
        <v>1</v>
      </c>
      <c r="K54" s="198" t="s">
        <v>4</v>
      </c>
      <c r="L54" s="184" t="s">
        <v>4</v>
      </c>
      <c r="M54" s="184" t="s">
        <v>4</v>
      </c>
      <c r="N54" s="186">
        <v>12</v>
      </c>
      <c r="O54" s="184" t="s">
        <v>12</v>
      </c>
      <c r="P54" s="187" t="s">
        <v>3</v>
      </c>
      <c r="Q54" s="345">
        <f>H54*N54</f>
        <v>0</v>
      </c>
      <c r="R54" s="405"/>
      <c r="S54" s="285"/>
      <c r="T54" s="285"/>
    </row>
    <row r="55" spans="1:20" s="2" customFormat="1" ht="23.25" customHeight="1">
      <c r="A55" s="338"/>
      <c r="B55" s="7"/>
      <c r="C55" s="265" t="s">
        <v>336</v>
      </c>
      <c r="D55" s="711">
        <f>세출예산서!E54</f>
        <v>0</v>
      </c>
      <c r="E55" s="46">
        <f>Q55</f>
        <v>3041666.6666666665</v>
      </c>
      <c r="F55" s="46">
        <f>E55-D55</f>
        <v>3041666.6666666665</v>
      </c>
      <c r="G55" s="160" t="s">
        <v>444</v>
      </c>
      <c r="H55" s="169"/>
      <c r="I55" s="170"/>
      <c r="J55" s="170"/>
      <c r="K55" s="170"/>
      <c r="L55" s="170"/>
      <c r="M55" s="170"/>
      <c r="N55" s="170"/>
      <c r="O55" s="170"/>
      <c r="P55" s="163" t="s">
        <v>3</v>
      </c>
      <c r="Q55" s="343">
        <f>SUM(Q56:Q63)</f>
        <v>3041666.6666666665</v>
      </c>
      <c r="R55" s="408">
        <f>Q55</f>
        <v>3041666.6666666665</v>
      </c>
      <c r="S55" s="287"/>
      <c r="T55" s="285"/>
    </row>
    <row r="56" spans="1:20" s="2" customFormat="1" ht="23.25" customHeight="1">
      <c r="A56" s="338"/>
      <c r="B56" s="7"/>
      <c r="C56" s="7"/>
      <c r="D56" s="705"/>
      <c r="E56" s="46"/>
      <c r="F56" s="46"/>
      <c r="G56" s="207" t="s">
        <v>287</v>
      </c>
      <c r="H56" s="171">
        <f>800000/12</f>
        <v>66666.666666666672</v>
      </c>
      <c r="I56" s="175" t="s">
        <v>0</v>
      </c>
      <c r="J56" s="175" t="s">
        <v>1</v>
      </c>
      <c r="K56" s="181" t="s">
        <v>4</v>
      </c>
      <c r="L56" s="175" t="s">
        <v>4</v>
      </c>
      <c r="M56" s="175" t="s">
        <v>4</v>
      </c>
      <c r="N56" s="177">
        <v>12</v>
      </c>
      <c r="O56" s="175" t="s">
        <v>12</v>
      </c>
      <c r="P56" s="178" t="s">
        <v>3</v>
      </c>
      <c r="Q56" s="344">
        <f t="shared" ref="Q56:Q63" si="2">H56*N56</f>
        <v>800000</v>
      </c>
      <c r="R56" s="405"/>
      <c r="S56" s="285"/>
      <c r="T56" s="285"/>
    </row>
    <row r="57" spans="1:20" s="2" customFormat="1" ht="23.25" customHeight="1">
      <c r="A57" s="350"/>
      <c r="B57" s="50"/>
      <c r="C57" s="7"/>
      <c r="D57" s="705"/>
      <c r="E57" s="46"/>
      <c r="F57" s="46"/>
      <c r="G57" s="174" t="s">
        <v>272</v>
      </c>
      <c r="H57" s="473">
        <v>0</v>
      </c>
      <c r="I57" s="175" t="s">
        <v>0</v>
      </c>
      <c r="J57" s="175" t="s">
        <v>1</v>
      </c>
      <c r="K57" s="181"/>
      <c r="L57" s="175"/>
      <c r="M57" s="175"/>
      <c r="N57" s="177">
        <v>12</v>
      </c>
      <c r="O57" s="175" t="s">
        <v>12</v>
      </c>
      <c r="P57" s="178" t="s">
        <v>3</v>
      </c>
      <c r="Q57" s="344">
        <f t="shared" si="2"/>
        <v>0</v>
      </c>
      <c r="R57" s="405"/>
      <c r="S57" s="285"/>
      <c r="T57" s="285"/>
    </row>
    <row r="58" spans="1:20" s="2" customFormat="1" ht="23.25" customHeight="1">
      <c r="A58" s="350"/>
      <c r="B58" s="50"/>
      <c r="C58" s="7"/>
      <c r="D58" s="705"/>
      <c r="E58" s="46"/>
      <c r="F58" s="46"/>
      <c r="G58" s="174" t="s">
        <v>297</v>
      </c>
      <c r="H58" s="171">
        <v>80000</v>
      </c>
      <c r="I58" s="175" t="s">
        <v>0</v>
      </c>
      <c r="J58" s="175" t="s">
        <v>1</v>
      </c>
      <c r="K58" s="181"/>
      <c r="L58" s="175"/>
      <c r="M58" s="175"/>
      <c r="N58" s="177">
        <v>12</v>
      </c>
      <c r="O58" s="175" t="s">
        <v>12</v>
      </c>
      <c r="P58" s="178" t="s">
        <v>3</v>
      </c>
      <c r="Q58" s="344">
        <f t="shared" si="2"/>
        <v>960000</v>
      </c>
      <c r="R58" s="405"/>
      <c r="S58" s="285"/>
      <c r="T58" s="285"/>
    </row>
    <row r="59" spans="1:20" s="2" customFormat="1" ht="23.25" customHeight="1">
      <c r="A59" s="350"/>
      <c r="B59" s="50"/>
      <c r="C59" s="7"/>
      <c r="D59" s="705"/>
      <c r="E59" s="46"/>
      <c r="F59" s="46"/>
      <c r="G59" s="174" t="s">
        <v>286</v>
      </c>
      <c r="H59" s="171">
        <v>0</v>
      </c>
      <c r="I59" s="175" t="s">
        <v>0</v>
      </c>
      <c r="J59" s="175" t="s">
        <v>1</v>
      </c>
      <c r="K59" s="181"/>
      <c r="L59" s="175"/>
      <c r="M59" s="175"/>
      <c r="N59" s="177">
        <v>12</v>
      </c>
      <c r="O59" s="175" t="s">
        <v>12</v>
      </c>
      <c r="P59" s="178" t="s">
        <v>3</v>
      </c>
      <c r="Q59" s="344">
        <f t="shared" si="2"/>
        <v>0</v>
      </c>
      <c r="R59" s="405"/>
      <c r="S59" s="285"/>
      <c r="T59" s="285"/>
    </row>
    <row r="60" spans="1:20" s="2" customFormat="1" ht="23.25" customHeight="1">
      <c r="A60" s="350"/>
      <c r="B60" s="50"/>
      <c r="C60" s="7"/>
      <c r="D60" s="705"/>
      <c r="E60" s="46"/>
      <c r="F60" s="46"/>
      <c r="G60" s="174" t="s">
        <v>295</v>
      </c>
      <c r="H60" s="171">
        <f>1000000/12</f>
        <v>83333.333333333328</v>
      </c>
      <c r="I60" s="175" t="s">
        <v>0</v>
      </c>
      <c r="J60" s="175" t="s">
        <v>1</v>
      </c>
      <c r="K60" s="181"/>
      <c r="L60" s="175"/>
      <c r="M60" s="175"/>
      <c r="N60" s="177">
        <v>12</v>
      </c>
      <c r="O60" s="175" t="s">
        <v>12</v>
      </c>
      <c r="P60" s="178" t="s">
        <v>3</v>
      </c>
      <c r="Q60" s="344">
        <f>H60*N60</f>
        <v>1000000</v>
      </c>
      <c r="R60" s="405"/>
      <c r="S60" s="285"/>
      <c r="T60" s="285"/>
    </row>
    <row r="61" spans="1:20" s="2" customFormat="1" ht="23.25" customHeight="1">
      <c r="A61" s="350"/>
      <c r="B61" s="50"/>
      <c r="C61" s="7"/>
      <c r="D61" s="705"/>
      <c r="E61" s="46"/>
      <c r="F61" s="46"/>
      <c r="G61" s="174" t="s">
        <v>274</v>
      </c>
      <c r="H61" s="171">
        <v>20000</v>
      </c>
      <c r="I61" s="175" t="s">
        <v>0</v>
      </c>
      <c r="J61" s="175" t="s">
        <v>1</v>
      </c>
      <c r="K61" s="181"/>
      <c r="L61" s="175"/>
      <c r="M61" s="175"/>
      <c r="N61" s="177">
        <v>12</v>
      </c>
      <c r="O61" s="175" t="s">
        <v>12</v>
      </c>
      <c r="P61" s="178" t="s">
        <v>3</v>
      </c>
      <c r="Q61" s="344">
        <f t="shared" si="2"/>
        <v>240000</v>
      </c>
      <c r="R61" s="405"/>
      <c r="S61" s="285"/>
      <c r="T61" s="285"/>
    </row>
    <row r="62" spans="1:20" s="2" customFormat="1" ht="23.25" customHeight="1">
      <c r="A62" s="350"/>
      <c r="B62" s="50"/>
      <c r="C62" s="7"/>
      <c r="D62" s="705"/>
      <c r="E62" s="46"/>
      <c r="F62" s="46"/>
      <c r="G62" s="174" t="s">
        <v>279</v>
      </c>
      <c r="H62" s="171">
        <f>500000/12</f>
        <v>41666.666666666664</v>
      </c>
      <c r="I62" s="175" t="s">
        <v>0</v>
      </c>
      <c r="J62" s="175" t="s">
        <v>1</v>
      </c>
      <c r="K62" s="181"/>
      <c r="L62" s="175"/>
      <c r="M62" s="175"/>
      <c r="N62" s="177">
        <v>1</v>
      </c>
      <c r="O62" s="175" t="s">
        <v>12</v>
      </c>
      <c r="P62" s="178" t="s">
        <v>3</v>
      </c>
      <c r="Q62" s="344">
        <f>H62*N62</f>
        <v>41666.666666666664</v>
      </c>
      <c r="R62" s="405"/>
      <c r="S62" s="285"/>
      <c r="T62" s="285"/>
    </row>
    <row r="63" spans="1:20" s="2" customFormat="1" ht="23.25" customHeight="1">
      <c r="A63" s="350"/>
      <c r="B63" s="50"/>
      <c r="C63" s="7"/>
      <c r="D63" s="705"/>
      <c r="E63" s="46"/>
      <c r="F63" s="46"/>
      <c r="G63" s="279" t="s">
        <v>280</v>
      </c>
      <c r="H63" s="645">
        <v>0</v>
      </c>
      <c r="I63" s="192" t="s">
        <v>0</v>
      </c>
      <c r="J63" s="192" t="s">
        <v>1</v>
      </c>
      <c r="K63" s="193"/>
      <c r="L63" s="192"/>
      <c r="M63" s="192"/>
      <c r="N63" s="194">
        <v>12</v>
      </c>
      <c r="O63" s="192" t="s">
        <v>12</v>
      </c>
      <c r="P63" s="195" t="s">
        <v>3</v>
      </c>
      <c r="Q63" s="347">
        <f t="shared" si="2"/>
        <v>0</v>
      </c>
      <c r="R63" s="405"/>
      <c r="S63" s="285"/>
      <c r="T63" s="285"/>
    </row>
    <row r="64" spans="1:20" s="2" customFormat="1" ht="23.25" customHeight="1">
      <c r="A64" s="338"/>
      <c r="B64" s="7"/>
      <c r="C64" s="1184" t="s">
        <v>337</v>
      </c>
      <c r="D64" s="712">
        <f>세출예산서!E64</f>
        <v>0</v>
      </c>
      <c r="E64" s="45">
        <f>Q64</f>
        <v>17100000</v>
      </c>
      <c r="F64" s="45">
        <f>E64-D64</f>
        <v>17100000</v>
      </c>
      <c r="G64" s="627" t="s">
        <v>457</v>
      </c>
      <c r="H64" s="649"/>
      <c r="I64" s="650"/>
      <c r="J64" s="650"/>
      <c r="K64" s="651"/>
      <c r="L64" s="650"/>
      <c r="M64" s="650"/>
      <c r="N64" s="651"/>
      <c r="O64" s="161"/>
      <c r="P64" s="163" t="s">
        <v>3</v>
      </c>
      <c r="Q64" s="623">
        <f>Q65+Q70</f>
        <v>17100000</v>
      </c>
      <c r="S64" s="287"/>
      <c r="T64" s="285"/>
    </row>
    <row r="65" spans="1:20" s="2" customFormat="1" ht="23.25" customHeight="1">
      <c r="A65" s="338"/>
      <c r="B65" s="7"/>
      <c r="C65" s="1185"/>
      <c r="D65" s="713"/>
      <c r="E65" s="46"/>
      <c r="F65" s="46"/>
      <c r="G65" s="164" t="s">
        <v>14</v>
      </c>
      <c r="H65" s="646" t="s">
        <v>4</v>
      </c>
      <c r="I65" s="166" t="s">
        <v>4</v>
      </c>
      <c r="J65" s="166" t="s">
        <v>4</v>
      </c>
      <c r="K65" s="644" t="s">
        <v>4</v>
      </c>
      <c r="L65" s="166" t="s">
        <v>4</v>
      </c>
      <c r="M65" s="166" t="s">
        <v>4</v>
      </c>
      <c r="N65" s="644" t="s">
        <v>4</v>
      </c>
      <c r="O65" s="166" t="s">
        <v>4</v>
      </c>
      <c r="P65" s="168" t="s">
        <v>7</v>
      </c>
      <c r="Q65" s="647">
        <f>SUM(Q66:Q69)</f>
        <v>2400000</v>
      </c>
      <c r="R65" s="410">
        <f>Q65</f>
        <v>2400000</v>
      </c>
      <c r="S65" s="285"/>
      <c r="T65" s="285"/>
    </row>
    <row r="66" spans="1:20" s="2" customFormat="1" ht="23.25" customHeight="1">
      <c r="A66" s="338"/>
      <c r="B66" s="7"/>
      <c r="C66" s="8"/>
      <c r="D66" s="713"/>
      <c r="E66" s="46"/>
      <c r="F66" s="46"/>
      <c r="G66" s="174" t="s">
        <v>293</v>
      </c>
      <c r="H66" s="209">
        <v>0</v>
      </c>
      <c r="I66" s="175" t="s">
        <v>0</v>
      </c>
      <c r="J66" s="175" t="s">
        <v>1</v>
      </c>
      <c r="K66" s="181" t="s">
        <v>4</v>
      </c>
      <c r="L66" s="175" t="s">
        <v>4</v>
      </c>
      <c r="M66" s="175" t="s">
        <v>4</v>
      </c>
      <c r="N66" s="177">
        <v>1</v>
      </c>
      <c r="O66" s="175" t="s">
        <v>12</v>
      </c>
      <c r="P66" s="178" t="s">
        <v>3</v>
      </c>
      <c r="Q66" s="344">
        <f>H66*N66</f>
        <v>0</v>
      </c>
      <c r="R66" s="411"/>
      <c r="S66" s="285"/>
      <c r="T66" s="285"/>
    </row>
    <row r="67" spans="1:20" s="2" customFormat="1" ht="23.25" customHeight="1">
      <c r="A67" s="338"/>
      <c r="B67" s="7"/>
      <c r="C67" s="8"/>
      <c r="D67" s="713"/>
      <c r="E67" s="46"/>
      <c r="F67" s="46"/>
      <c r="G67" s="190" t="s">
        <v>289</v>
      </c>
      <c r="H67" s="209">
        <v>0</v>
      </c>
      <c r="I67" s="175" t="s">
        <v>0</v>
      </c>
      <c r="J67" s="175" t="s">
        <v>1</v>
      </c>
      <c r="K67" s="181" t="s">
        <v>4</v>
      </c>
      <c r="L67" s="175" t="s">
        <v>4</v>
      </c>
      <c r="M67" s="175" t="s">
        <v>4</v>
      </c>
      <c r="N67" s="177">
        <v>12</v>
      </c>
      <c r="O67" s="175" t="s">
        <v>12</v>
      </c>
      <c r="P67" s="178" t="s">
        <v>3</v>
      </c>
      <c r="Q67" s="344">
        <f>H67*N67</f>
        <v>0</v>
      </c>
      <c r="R67" s="411"/>
      <c r="S67" s="285"/>
      <c r="T67" s="285"/>
    </row>
    <row r="68" spans="1:20" s="2" customFormat="1" ht="23.25" customHeight="1">
      <c r="A68" s="338"/>
      <c r="B68" s="7"/>
      <c r="C68" s="8"/>
      <c r="D68" s="713"/>
      <c r="E68" s="46"/>
      <c r="F68" s="46"/>
      <c r="G68" s="190" t="s">
        <v>234</v>
      </c>
      <c r="H68" s="209">
        <v>0</v>
      </c>
      <c r="I68" s="175" t="s">
        <v>0</v>
      </c>
      <c r="J68" s="175" t="s">
        <v>1</v>
      </c>
      <c r="K68" s="181" t="s">
        <v>4</v>
      </c>
      <c r="L68" s="175" t="s">
        <v>4</v>
      </c>
      <c r="M68" s="175" t="s">
        <v>4</v>
      </c>
      <c r="N68" s="177">
        <v>12</v>
      </c>
      <c r="O68" s="175" t="s">
        <v>12</v>
      </c>
      <c r="P68" s="178" t="s">
        <v>3</v>
      </c>
      <c r="Q68" s="344">
        <f>H68*N68</f>
        <v>0</v>
      </c>
      <c r="R68" s="411"/>
      <c r="S68" s="285"/>
      <c r="T68" s="285"/>
    </row>
    <row r="69" spans="1:20" s="2" customFormat="1" ht="23.25" customHeight="1">
      <c r="A69" s="338"/>
      <c r="B69" s="7"/>
      <c r="C69" s="7"/>
      <c r="D69" s="705"/>
      <c r="E69" s="46"/>
      <c r="F69" s="46"/>
      <c r="G69" s="279" t="s">
        <v>235</v>
      </c>
      <c r="H69" s="209">
        <v>200000</v>
      </c>
      <c r="I69" s="175" t="s">
        <v>0</v>
      </c>
      <c r="J69" s="175" t="s">
        <v>1</v>
      </c>
      <c r="K69" s="181" t="s">
        <v>4</v>
      </c>
      <c r="L69" s="175" t="s">
        <v>4</v>
      </c>
      <c r="M69" s="175" t="s">
        <v>4</v>
      </c>
      <c r="N69" s="177">
        <v>12</v>
      </c>
      <c r="O69" s="175" t="s">
        <v>12</v>
      </c>
      <c r="P69" s="178" t="s">
        <v>3</v>
      </c>
      <c r="Q69" s="344">
        <f>H69*N69</f>
        <v>2400000</v>
      </c>
      <c r="R69" s="408"/>
      <c r="T69" s="285"/>
    </row>
    <row r="70" spans="1:20" s="2" customFormat="1" ht="23.25" customHeight="1">
      <c r="A70" s="338"/>
      <c r="B70" s="7"/>
      <c r="C70" s="7"/>
      <c r="D70" s="705"/>
      <c r="E70" s="46"/>
      <c r="F70" s="46"/>
      <c r="G70" s="160" t="s">
        <v>13</v>
      </c>
      <c r="H70" s="208" t="s">
        <v>4</v>
      </c>
      <c r="I70" s="161" t="s">
        <v>4</v>
      </c>
      <c r="J70" s="161" t="s">
        <v>4</v>
      </c>
      <c r="K70" s="170" t="s">
        <v>4</v>
      </c>
      <c r="L70" s="161" t="s">
        <v>4</v>
      </c>
      <c r="M70" s="161" t="s">
        <v>4</v>
      </c>
      <c r="N70" s="170" t="s">
        <v>4</v>
      </c>
      <c r="O70" s="161" t="s">
        <v>4</v>
      </c>
      <c r="P70" s="163" t="s">
        <v>7</v>
      </c>
      <c r="Q70" s="395">
        <f>SUM(Q71:Q74)</f>
        <v>14700000</v>
      </c>
      <c r="R70" s="405"/>
      <c r="S70" s="287">
        <f>Q70</f>
        <v>14700000</v>
      </c>
      <c r="T70" s="285"/>
    </row>
    <row r="71" spans="1:20" s="2" customFormat="1" ht="23.25" customHeight="1">
      <c r="A71" s="338"/>
      <c r="B71" s="7"/>
      <c r="C71" s="643"/>
      <c r="D71" s="705"/>
      <c r="E71" s="46"/>
      <c r="F71" s="46"/>
      <c r="G71" s="316" t="s">
        <v>216</v>
      </c>
      <c r="H71" s="472">
        <v>100000</v>
      </c>
      <c r="I71" s="175" t="s">
        <v>0</v>
      </c>
      <c r="J71" s="175" t="s">
        <v>1</v>
      </c>
      <c r="K71" s="181" t="s">
        <v>4</v>
      </c>
      <c r="L71" s="175" t="s">
        <v>4</v>
      </c>
      <c r="M71" s="175" t="s">
        <v>4</v>
      </c>
      <c r="N71" s="177">
        <v>12</v>
      </c>
      <c r="O71" s="175" t="s">
        <v>20</v>
      </c>
      <c r="P71" s="178" t="s">
        <v>3</v>
      </c>
      <c r="Q71" s="344">
        <f>H71*N71</f>
        <v>1200000</v>
      </c>
      <c r="R71" s="405"/>
      <c r="S71" s="285"/>
      <c r="T71" s="285"/>
    </row>
    <row r="72" spans="1:20" s="2" customFormat="1" ht="23.25" customHeight="1">
      <c r="A72" s="338"/>
      <c r="B72" s="7"/>
      <c r="C72" s="7"/>
      <c r="D72" s="705"/>
      <c r="E72" s="46"/>
      <c r="F72" s="46"/>
      <c r="G72" s="174" t="s">
        <v>33</v>
      </c>
      <c r="H72" s="472">
        <f>7000000/12</f>
        <v>583333.33333333337</v>
      </c>
      <c r="I72" s="175" t="s">
        <v>0</v>
      </c>
      <c r="J72" s="175" t="s">
        <v>1</v>
      </c>
      <c r="K72" s="181" t="s">
        <v>4</v>
      </c>
      <c r="L72" s="175" t="s">
        <v>4</v>
      </c>
      <c r="M72" s="175" t="s">
        <v>4</v>
      </c>
      <c r="N72" s="177">
        <v>12</v>
      </c>
      <c r="O72" s="175" t="s">
        <v>20</v>
      </c>
      <c r="P72" s="178" t="s">
        <v>3</v>
      </c>
      <c r="Q72" s="344">
        <f>H72*N72</f>
        <v>7000000</v>
      </c>
      <c r="R72" s="405"/>
      <c r="S72" s="285"/>
      <c r="T72" s="285"/>
    </row>
    <row r="73" spans="1:20" s="2" customFormat="1" ht="23.25" customHeight="1">
      <c r="A73" s="338"/>
      <c r="B73" s="7"/>
      <c r="C73" s="7"/>
      <c r="D73" s="705"/>
      <c r="E73" s="46"/>
      <c r="F73" s="46"/>
      <c r="G73" s="280" t="s">
        <v>230</v>
      </c>
      <c r="H73" s="472">
        <f>3000000/12</f>
        <v>250000</v>
      </c>
      <c r="I73" s="175" t="s">
        <v>0</v>
      </c>
      <c r="J73" s="175" t="s">
        <v>1</v>
      </c>
      <c r="K73" s="181" t="s">
        <v>4</v>
      </c>
      <c r="L73" s="175" t="s">
        <v>4</v>
      </c>
      <c r="M73" s="175" t="s">
        <v>4</v>
      </c>
      <c r="N73" s="177">
        <v>12</v>
      </c>
      <c r="O73" s="175" t="s">
        <v>20</v>
      </c>
      <c r="P73" s="178" t="s">
        <v>3</v>
      </c>
      <c r="Q73" s="344">
        <f>H73*N73</f>
        <v>3000000</v>
      </c>
      <c r="R73" s="405"/>
      <c r="S73" s="285"/>
      <c r="T73" s="285"/>
    </row>
    <row r="74" spans="1:20" s="2" customFormat="1" ht="23.25" customHeight="1">
      <c r="A74" s="338"/>
      <c r="B74" s="7"/>
      <c r="C74" s="7"/>
      <c r="D74" s="705"/>
      <c r="E74" s="46"/>
      <c r="F74" s="46"/>
      <c r="G74" s="174" t="s">
        <v>34</v>
      </c>
      <c r="H74" s="472">
        <f>3500000/12</f>
        <v>291666.66666666669</v>
      </c>
      <c r="I74" s="175" t="s">
        <v>0</v>
      </c>
      <c r="J74" s="175" t="s">
        <v>1</v>
      </c>
      <c r="K74" s="181" t="s">
        <v>4</v>
      </c>
      <c r="L74" s="175" t="s">
        <v>4</v>
      </c>
      <c r="M74" s="175" t="s">
        <v>4</v>
      </c>
      <c r="N74" s="177">
        <v>12</v>
      </c>
      <c r="O74" s="175" t="s">
        <v>20</v>
      </c>
      <c r="P74" s="178" t="s">
        <v>3</v>
      </c>
      <c r="Q74" s="344">
        <f>H74*N74</f>
        <v>3500000</v>
      </c>
      <c r="R74" s="287"/>
      <c r="S74" s="287"/>
      <c r="T74" s="285"/>
    </row>
    <row r="75" spans="1:20" s="2" customFormat="1" ht="23.25" customHeight="1">
      <c r="A75" s="338"/>
      <c r="B75" s="7"/>
      <c r="C75" s="10" t="s">
        <v>338</v>
      </c>
      <c r="D75" s="714"/>
      <c r="E75" s="45">
        <f>Q75</f>
        <v>1700000</v>
      </c>
      <c r="F75" s="45">
        <f>E75-D75</f>
        <v>1700000</v>
      </c>
      <c r="G75" s="160" t="s">
        <v>105</v>
      </c>
      <c r="H75" s="208"/>
      <c r="I75" s="170"/>
      <c r="J75" s="170"/>
      <c r="K75" s="170"/>
      <c r="L75" s="170"/>
      <c r="M75" s="170"/>
      <c r="N75" s="170"/>
      <c r="O75" s="170"/>
      <c r="P75" s="163" t="s">
        <v>3</v>
      </c>
      <c r="Q75" s="343">
        <f>SUM(Q76:Q77)</f>
        <v>1700000</v>
      </c>
      <c r="R75" s="408">
        <f>Q75</f>
        <v>1700000</v>
      </c>
      <c r="S75" s="287"/>
      <c r="T75" s="285"/>
    </row>
    <row r="76" spans="1:20" s="2" customFormat="1" ht="23.25" customHeight="1">
      <c r="A76" s="338"/>
      <c r="B76" s="7"/>
      <c r="C76" s="7"/>
      <c r="D76" s="715"/>
      <c r="E76" s="46"/>
      <c r="F76" s="46"/>
      <c r="G76" s="174" t="s">
        <v>298</v>
      </c>
      <c r="H76" s="472">
        <v>100000</v>
      </c>
      <c r="I76" s="175" t="s">
        <v>0</v>
      </c>
      <c r="J76" s="175" t="s">
        <v>1</v>
      </c>
      <c r="K76" s="181" t="s">
        <v>4</v>
      </c>
      <c r="L76" s="175" t="s">
        <v>4</v>
      </c>
      <c r="M76" s="175" t="s">
        <v>4</v>
      </c>
      <c r="N76" s="177">
        <v>12</v>
      </c>
      <c r="O76" s="175" t="s">
        <v>20</v>
      </c>
      <c r="P76" s="178" t="s">
        <v>3</v>
      </c>
      <c r="Q76" s="344">
        <f>H76*N76</f>
        <v>1200000</v>
      </c>
      <c r="R76" s="411"/>
      <c r="S76" s="285"/>
      <c r="T76" s="285"/>
    </row>
    <row r="77" spans="1:20" s="2" customFormat="1" ht="23.25" customHeight="1">
      <c r="A77" s="338"/>
      <c r="B77" s="7"/>
      <c r="C77" s="9"/>
      <c r="D77" s="716"/>
      <c r="E77" s="49"/>
      <c r="F77" s="49"/>
      <c r="G77" s="196" t="s">
        <v>15</v>
      </c>
      <c r="H77" s="210">
        <f>500000/12</f>
        <v>41666.666666666664</v>
      </c>
      <c r="I77" s="184" t="s">
        <v>0</v>
      </c>
      <c r="J77" s="184" t="s">
        <v>1</v>
      </c>
      <c r="K77" s="198" t="s">
        <v>4</v>
      </c>
      <c r="L77" s="184" t="s">
        <v>4</v>
      </c>
      <c r="M77" s="184" t="s">
        <v>4</v>
      </c>
      <c r="N77" s="186">
        <v>12</v>
      </c>
      <c r="O77" s="184" t="s">
        <v>20</v>
      </c>
      <c r="P77" s="187" t="s">
        <v>3</v>
      </c>
      <c r="Q77" s="345">
        <f>H77*N77</f>
        <v>500000</v>
      </c>
      <c r="R77" s="411"/>
      <c r="S77" s="285"/>
      <c r="T77" s="285"/>
    </row>
    <row r="78" spans="1:20" s="2" customFormat="1" ht="23.25" customHeight="1">
      <c r="A78" s="338"/>
      <c r="B78" s="7"/>
      <c r="C78" s="10" t="s">
        <v>339</v>
      </c>
      <c r="D78" s="704">
        <f>세출예산서!E80</f>
        <v>0</v>
      </c>
      <c r="E78" s="45">
        <f>Q78</f>
        <v>0</v>
      </c>
      <c r="F78" s="45">
        <f>E78-D78</f>
        <v>0</v>
      </c>
      <c r="G78" s="160" t="s">
        <v>340</v>
      </c>
      <c r="H78" s="208"/>
      <c r="I78" s="170"/>
      <c r="J78" s="170"/>
      <c r="K78" s="170"/>
      <c r="L78" s="170"/>
      <c r="M78" s="170"/>
      <c r="N78" s="170"/>
      <c r="O78" s="170"/>
      <c r="P78" s="163" t="s">
        <v>3</v>
      </c>
      <c r="Q78" s="343">
        <f>SUM(Q79:Q79)</f>
        <v>0</v>
      </c>
      <c r="R78" s="287">
        <f>Q78</f>
        <v>0</v>
      </c>
      <c r="S78" s="287"/>
      <c r="T78" s="285"/>
    </row>
    <row r="79" spans="1:20" s="2" customFormat="1" ht="23.25" customHeight="1">
      <c r="A79" s="338"/>
      <c r="B79" s="7"/>
      <c r="C79" s="7"/>
      <c r="D79" s="705"/>
      <c r="E79" s="46"/>
      <c r="F79" s="46"/>
      <c r="G79" s="174" t="s">
        <v>344</v>
      </c>
      <c r="H79" s="472">
        <v>0</v>
      </c>
      <c r="I79" s="175" t="s">
        <v>0</v>
      </c>
      <c r="J79" s="175" t="s">
        <v>1</v>
      </c>
      <c r="K79" s="181" t="s">
        <v>4</v>
      </c>
      <c r="L79" s="175" t="s">
        <v>4</v>
      </c>
      <c r="M79" s="175" t="s">
        <v>4</v>
      </c>
      <c r="N79" s="177">
        <v>12</v>
      </c>
      <c r="O79" s="175" t="s">
        <v>20</v>
      </c>
      <c r="P79" s="178" t="s">
        <v>3</v>
      </c>
      <c r="Q79" s="344">
        <f>H79*N79</f>
        <v>0</v>
      </c>
      <c r="R79" s="411"/>
      <c r="S79" s="285"/>
      <c r="T79" s="285"/>
    </row>
    <row r="80" spans="1:20" s="2" customFormat="1" ht="23.25" customHeight="1">
      <c r="A80" s="350"/>
      <c r="B80" s="50"/>
      <c r="C80" s="10" t="s">
        <v>345</v>
      </c>
      <c r="D80" s="704">
        <f>세출예산서!E82</f>
        <v>0</v>
      </c>
      <c r="E80" s="45">
        <f xml:space="preserve"> Q80</f>
        <v>6600000</v>
      </c>
      <c r="F80" s="45">
        <f>E80-D80</f>
        <v>6600000</v>
      </c>
      <c r="G80" s="160" t="s">
        <v>106</v>
      </c>
      <c r="H80" s="169"/>
      <c r="I80" s="170"/>
      <c r="J80" s="170"/>
      <c r="K80" s="170"/>
      <c r="L80" s="170"/>
      <c r="M80" s="170"/>
      <c r="N80" s="170"/>
      <c r="O80" s="170"/>
      <c r="P80" s="163" t="s">
        <v>3</v>
      </c>
      <c r="Q80" s="343">
        <f>SUM(Q81:Q87)</f>
        <v>6600000</v>
      </c>
      <c r="R80" s="412">
        <f>Q80</f>
        <v>6600000</v>
      </c>
      <c r="S80" s="290"/>
      <c r="T80" s="285"/>
    </row>
    <row r="81" spans="1:20" s="2" customFormat="1" ht="23.25" customHeight="1">
      <c r="A81" s="350"/>
      <c r="B81" s="50"/>
      <c r="C81" s="7"/>
      <c r="D81" s="705"/>
      <c r="E81" s="46"/>
      <c r="F81" s="46"/>
      <c r="G81" s="174" t="s">
        <v>341</v>
      </c>
      <c r="H81" s="171">
        <v>0</v>
      </c>
      <c r="I81" s="175" t="s">
        <v>0</v>
      </c>
      <c r="J81" s="175" t="s">
        <v>1</v>
      </c>
      <c r="K81" s="181" t="s">
        <v>4</v>
      </c>
      <c r="L81" s="175" t="s">
        <v>4</v>
      </c>
      <c r="M81" s="175" t="s">
        <v>4</v>
      </c>
      <c r="N81" s="177">
        <v>12</v>
      </c>
      <c r="O81" s="175" t="s">
        <v>20</v>
      </c>
      <c r="P81" s="178" t="s">
        <v>3</v>
      </c>
      <c r="Q81" s="344">
        <f t="shared" ref="Q81:Q86" si="3">H81*N81</f>
        <v>0</v>
      </c>
      <c r="R81" s="412"/>
      <c r="S81" s="290"/>
      <c r="T81" s="285"/>
    </row>
    <row r="82" spans="1:20" s="2" customFormat="1" ht="23.25" customHeight="1">
      <c r="A82" s="350"/>
      <c r="B82" s="50"/>
      <c r="C82" s="7"/>
      <c r="D82" s="705"/>
      <c r="E82" s="46"/>
      <c r="F82" s="46"/>
      <c r="G82" s="278" t="s">
        <v>456</v>
      </c>
      <c r="H82" s="96">
        <v>150000</v>
      </c>
      <c r="I82" s="22" t="s">
        <v>0</v>
      </c>
      <c r="J82" s="22" t="s">
        <v>1</v>
      </c>
      <c r="K82" s="36">
        <v>1</v>
      </c>
      <c r="L82" s="22" t="s">
        <v>2</v>
      </c>
      <c r="M82" s="22" t="s">
        <v>1</v>
      </c>
      <c r="N82" s="25">
        <v>12</v>
      </c>
      <c r="O82" s="22" t="s">
        <v>12</v>
      </c>
      <c r="P82" s="22"/>
      <c r="Q82" s="344">
        <f>H82*N82*K82</f>
        <v>1800000</v>
      </c>
      <c r="R82" s="412"/>
      <c r="S82" s="290"/>
      <c r="T82" s="285"/>
    </row>
    <row r="83" spans="1:20" s="2" customFormat="1" ht="23.25" customHeight="1">
      <c r="A83" s="350"/>
      <c r="B83" s="50"/>
      <c r="C83" s="7"/>
      <c r="D83" s="705"/>
      <c r="E83" s="46"/>
      <c r="F83" s="46"/>
      <c r="G83" s="174" t="s">
        <v>354</v>
      </c>
      <c r="H83" s="171">
        <v>200000</v>
      </c>
      <c r="I83" s="175" t="s">
        <v>0</v>
      </c>
      <c r="J83" s="175" t="s">
        <v>1</v>
      </c>
      <c r="K83" s="329">
        <v>1</v>
      </c>
      <c r="L83" s="22" t="s">
        <v>2</v>
      </c>
      <c r="M83" s="175" t="s">
        <v>4</v>
      </c>
      <c r="N83" s="177">
        <v>12</v>
      </c>
      <c r="O83" s="175" t="s">
        <v>20</v>
      </c>
      <c r="P83" s="178" t="s">
        <v>3</v>
      </c>
      <c r="Q83" s="344">
        <f>H83*N83*K83</f>
        <v>2400000</v>
      </c>
      <c r="R83" s="412"/>
      <c r="S83" s="290"/>
      <c r="T83" s="285"/>
    </row>
    <row r="84" spans="1:20" s="2" customFormat="1" ht="23.25" customHeight="1">
      <c r="A84" s="350"/>
      <c r="B84" s="50"/>
      <c r="C84" s="7"/>
      <c r="D84" s="705"/>
      <c r="E84" s="46"/>
      <c r="F84" s="46"/>
      <c r="G84" s="174" t="s">
        <v>355</v>
      </c>
      <c r="H84" s="171">
        <v>0</v>
      </c>
      <c r="I84" s="175" t="s">
        <v>0</v>
      </c>
      <c r="J84" s="175" t="s">
        <v>1</v>
      </c>
      <c r="K84" s="181" t="s">
        <v>4</v>
      </c>
      <c r="L84" s="175" t="s">
        <v>4</v>
      </c>
      <c r="M84" s="175" t="s">
        <v>4</v>
      </c>
      <c r="N84" s="177">
        <v>12</v>
      </c>
      <c r="O84" s="175" t="s">
        <v>20</v>
      </c>
      <c r="P84" s="178" t="s">
        <v>3</v>
      </c>
      <c r="Q84" s="344">
        <f t="shared" si="3"/>
        <v>0</v>
      </c>
      <c r="R84" s="412"/>
      <c r="S84" s="290"/>
      <c r="T84" s="285"/>
    </row>
    <row r="85" spans="1:20" s="2" customFormat="1" ht="23.25" customHeight="1">
      <c r="A85" s="350"/>
      <c r="B85" s="50"/>
      <c r="C85" s="7"/>
      <c r="D85" s="705"/>
      <c r="E85" s="46"/>
      <c r="F85" s="46"/>
      <c r="G85" s="174" t="s">
        <v>342</v>
      </c>
      <c r="H85" s="171">
        <v>0</v>
      </c>
      <c r="I85" s="175" t="s">
        <v>0</v>
      </c>
      <c r="J85" s="175" t="s">
        <v>1</v>
      </c>
      <c r="K85" s="181" t="s">
        <v>4</v>
      </c>
      <c r="L85" s="175" t="s">
        <v>4</v>
      </c>
      <c r="M85" s="175" t="s">
        <v>4</v>
      </c>
      <c r="N85" s="177">
        <v>12</v>
      </c>
      <c r="O85" s="175" t="s">
        <v>20</v>
      </c>
      <c r="P85" s="178" t="s">
        <v>3</v>
      </c>
      <c r="Q85" s="344">
        <f t="shared" si="3"/>
        <v>0</v>
      </c>
      <c r="R85" s="412"/>
      <c r="S85" s="290"/>
      <c r="T85" s="285"/>
    </row>
    <row r="86" spans="1:20" s="2" customFormat="1" ht="23.25" customHeight="1">
      <c r="A86" s="350"/>
      <c r="B86" s="50"/>
      <c r="C86" s="7"/>
      <c r="D86" s="705"/>
      <c r="E86" s="46"/>
      <c r="F86" s="46"/>
      <c r="G86" s="174" t="s">
        <v>343</v>
      </c>
      <c r="H86" s="171">
        <v>0</v>
      </c>
      <c r="I86" s="175" t="s">
        <v>0</v>
      </c>
      <c r="J86" s="175" t="s">
        <v>1</v>
      </c>
      <c r="K86" s="181" t="s">
        <v>4</v>
      </c>
      <c r="L86" s="175" t="s">
        <v>4</v>
      </c>
      <c r="M86" s="175" t="s">
        <v>4</v>
      </c>
      <c r="N86" s="177">
        <v>12</v>
      </c>
      <c r="O86" s="175" t="s">
        <v>20</v>
      </c>
      <c r="P86" s="178" t="s">
        <v>3</v>
      </c>
      <c r="Q86" s="344">
        <f t="shared" si="3"/>
        <v>0</v>
      </c>
      <c r="R86" s="412"/>
      <c r="S86" s="290"/>
      <c r="T86" s="285"/>
    </row>
    <row r="87" spans="1:20" ht="23.25" customHeight="1" thickBot="1">
      <c r="A87" s="351"/>
      <c r="B87" s="204"/>
      <c r="C87" s="352"/>
      <c r="D87" s="717"/>
      <c r="E87" s="223"/>
      <c r="F87" s="223"/>
      <c r="G87" s="480" t="s">
        <v>455</v>
      </c>
      <c r="H87" s="465">
        <v>200000</v>
      </c>
      <c r="I87" s="466" t="s">
        <v>0</v>
      </c>
      <c r="J87" s="22" t="s">
        <v>1</v>
      </c>
      <c r="K87" s="329">
        <v>1</v>
      </c>
      <c r="L87" s="22" t="s">
        <v>2</v>
      </c>
      <c r="M87" s="22"/>
      <c r="N87" s="468">
        <v>12</v>
      </c>
      <c r="O87" s="466" t="s">
        <v>20</v>
      </c>
      <c r="P87" s="460" t="s">
        <v>3</v>
      </c>
      <c r="Q87" s="469">
        <f>H87*N87*K87</f>
        <v>2400000</v>
      </c>
      <c r="R87" s="405"/>
      <c r="S87" s="285"/>
      <c r="T87" s="285"/>
    </row>
    <row r="88" spans="1:20" ht="23.25" customHeight="1">
      <c r="A88" s="1144" t="s">
        <v>350</v>
      </c>
      <c r="B88" s="1135"/>
      <c r="C88" s="1135"/>
      <c r="D88" s="597">
        <f>세출예산서!E94</f>
        <v>0</v>
      </c>
      <c r="E88" s="335">
        <f>E89</f>
        <v>0</v>
      </c>
      <c r="F88" s="335">
        <f t="shared" ref="F88:F95" si="4">E88-D88</f>
        <v>0</v>
      </c>
      <c r="G88" s="354"/>
      <c r="H88" s="367"/>
      <c r="I88" s="355"/>
      <c r="J88" s="355"/>
      <c r="K88" s="356"/>
      <c r="L88" s="357"/>
      <c r="M88" s="358"/>
      <c r="N88" s="358"/>
      <c r="O88" s="358"/>
      <c r="P88" s="356"/>
      <c r="Q88" s="397">
        <f>Q89</f>
        <v>0</v>
      </c>
      <c r="R88" s="413">
        <f>Q88</f>
        <v>0</v>
      </c>
      <c r="S88" s="366"/>
      <c r="T88" s="366"/>
    </row>
    <row r="89" spans="1:20" ht="23.25" customHeight="1">
      <c r="A89" s="359"/>
      <c r="B89" s="1216" t="s">
        <v>351</v>
      </c>
      <c r="C89" s="1216"/>
      <c r="D89" s="120">
        <f>세출예산서!E95</f>
        <v>1000000</v>
      </c>
      <c r="E89" s="44">
        <f>SUM(E90:E92)</f>
        <v>0</v>
      </c>
      <c r="F89" s="48">
        <f t="shared" si="4"/>
        <v>-1000000</v>
      </c>
      <c r="G89" s="158"/>
      <c r="H89" s="224"/>
      <c r="I89" s="156"/>
      <c r="J89" s="156"/>
      <c r="K89" s="156"/>
      <c r="L89" s="156"/>
      <c r="M89" s="156"/>
      <c r="N89" s="156"/>
      <c r="O89" s="156"/>
      <c r="P89" s="163"/>
      <c r="Q89" s="360">
        <f>Q90+Q91+Q92</f>
        <v>0</v>
      </c>
      <c r="R89" s="414"/>
      <c r="S89" s="366"/>
      <c r="T89" s="366"/>
    </row>
    <row r="90" spans="1:20" ht="23.25" customHeight="1">
      <c r="A90" s="359"/>
      <c r="B90" s="484"/>
      <c r="C90" s="225" t="s">
        <v>236</v>
      </c>
      <c r="D90" s="718">
        <f>세출예산서!E96</f>
        <v>0</v>
      </c>
      <c r="E90" s="48">
        <f>Q90</f>
        <v>0</v>
      </c>
      <c r="F90" s="48">
        <f t="shared" si="4"/>
        <v>0</v>
      </c>
      <c r="G90" s="231" t="s">
        <v>237</v>
      </c>
      <c r="H90" s="488">
        <v>0</v>
      </c>
      <c r="I90" s="192" t="s">
        <v>0</v>
      </c>
      <c r="J90" s="192" t="s">
        <v>1</v>
      </c>
      <c r="K90" s="193" t="s">
        <v>4</v>
      </c>
      <c r="L90" s="192" t="s">
        <v>4</v>
      </c>
      <c r="M90" s="192" t="s">
        <v>4</v>
      </c>
      <c r="N90" s="194">
        <v>12</v>
      </c>
      <c r="O90" s="192" t="s">
        <v>20</v>
      </c>
      <c r="P90" s="195" t="s">
        <v>3</v>
      </c>
      <c r="Q90" s="361">
        <f>H90*N90:N90</f>
        <v>0</v>
      </c>
      <c r="R90" s="414"/>
      <c r="S90" s="366"/>
      <c r="T90" s="366"/>
    </row>
    <row r="91" spans="1:20" ht="23.25" customHeight="1">
      <c r="A91" s="359"/>
      <c r="B91" s="484"/>
      <c r="C91" s="266" t="s">
        <v>352</v>
      </c>
      <c r="D91" s="718">
        <f>세출예산서!E98</f>
        <v>0</v>
      </c>
      <c r="E91" s="48">
        <f>Q91</f>
        <v>0</v>
      </c>
      <c r="F91" s="48">
        <f t="shared" si="4"/>
        <v>0</v>
      </c>
      <c r="G91" s="231" t="s">
        <v>246</v>
      </c>
      <c r="H91" s="209">
        <v>0</v>
      </c>
      <c r="I91" s="175" t="s">
        <v>0</v>
      </c>
      <c r="J91" s="175" t="s">
        <v>1</v>
      </c>
      <c r="K91" s="181" t="s">
        <v>4</v>
      </c>
      <c r="L91" s="175" t="s">
        <v>4</v>
      </c>
      <c r="M91" s="175" t="s">
        <v>4</v>
      </c>
      <c r="N91" s="177">
        <v>12</v>
      </c>
      <c r="O91" s="175" t="s">
        <v>20</v>
      </c>
      <c r="P91" s="178" t="s">
        <v>3</v>
      </c>
      <c r="Q91" s="344">
        <f>H91*N91:N91</f>
        <v>0</v>
      </c>
      <c r="R91" s="414"/>
      <c r="S91" s="366"/>
      <c r="T91" s="366"/>
    </row>
    <row r="92" spans="1:20" s="11" customFormat="1" ht="23.25" customHeight="1" thickBot="1">
      <c r="A92" s="362"/>
      <c r="B92" s="363"/>
      <c r="C92" s="232" t="s">
        <v>353</v>
      </c>
      <c r="D92" s="719">
        <f>세출예산서!E99</f>
        <v>0</v>
      </c>
      <c r="E92" s="364">
        <f>Q92</f>
        <v>0</v>
      </c>
      <c r="F92" s="223">
        <f t="shared" si="4"/>
        <v>0</v>
      </c>
      <c r="G92" s="233" t="s">
        <v>238</v>
      </c>
      <c r="H92" s="489">
        <v>0</v>
      </c>
      <c r="I92" s="466" t="s">
        <v>0</v>
      </c>
      <c r="J92" s="466" t="s">
        <v>1</v>
      </c>
      <c r="K92" s="467" t="s">
        <v>4</v>
      </c>
      <c r="L92" s="466" t="s">
        <v>4</v>
      </c>
      <c r="M92" s="466" t="s">
        <v>4</v>
      </c>
      <c r="N92" s="468">
        <v>12</v>
      </c>
      <c r="O92" s="466" t="s">
        <v>20</v>
      </c>
      <c r="P92" s="460" t="s">
        <v>3</v>
      </c>
      <c r="Q92" s="469">
        <f>H92*N92:N92</f>
        <v>0</v>
      </c>
      <c r="R92" s="414"/>
      <c r="S92" s="366"/>
      <c r="T92" s="366"/>
    </row>
    <row r="93" spans="1:20" s="11" customFormat="1" ht="23.25" customHeight="1">
      <c r="A93" s="1173" t="s">
        <v>356</v>
      </c>
      <c r="B93" s="1174"/>
      <c r="C93" s="1175"/>
      <c r="D93" s="720">
        <f>세출예산서!E100</f>
        <v>0</v>
      </c>
      <c r="E93" s="353">
        <f>E94+E109</f>
        <v>24120000</v>
      </c>
      <c r="F93" s="353">
        <f t="shared" si="4"/>
        <v>24120000</v>
      </c>
      <c r="G93" s="15"/>
      <c r="H93" s="212"/>
      <c r="I93" s="91"/>
      <c r="J93" s="91"/>
      <c r="K93" s="91"/>
      <c r="L93" s="91"/>
      <c r="M93" s="91"/>
      <c r="N93" s="91"/>
      <c r="O93" s="1186">
        <f>O94+Q109</f>
        <v>24120000</v>
      </c>
      <c r="P93" s="1186"/>
      <c r="Q93" s="1187"/>
      <c r="R93" s="415"/>
      <c r="S93" s="292"/>
      <c r="T93" s="288"/>
    </row>
    <row r="94" spans="1:20" s="11" customFormat="1" ht="23.25" customHeight="1">
      <c r="A94" s="420"/>
      <c r="B94" s="1138" t="s">
        <v>357</v>
      </c>
      <c r="C94" s="1137"/>
      <c r="D94" s="721">
        <f>세출예산서!E101</f>
        <v>0</v>
      </c>
      <c r="E94" s="78">
        <f>E95+E101+E105+E107</f>
        <v>24120000</v>
      </c>
      <c r="F94" s="78">
        <f t="shared" si="4"/>
        <v>24120000</v>
      </c>
      <c r="G94" s="211"/>
      <c r="H94" s="212"/>
      <c r="I94" s="91"/>
      <c r="J94" s="91"/>
      <c r="K94" s="91"/>
      <c r="L94" s="91"/>
      <c r="M94" s="91"/>
      <c r="N94" s="91"/>
      <c r="O94" s="1188">
        <f>Q95+Q98+Q105+Q107+Q101</f>
        <v>24120000</v>
      </c>
      <c r="P94" s="1188"/>
      <c r="Q94" s="1189"/>
      <c r="R94" s="416"/>
      <c r="S94" s="288"/>
      <c r="T94" s="288"/>
    </row>
    <row r="95" spans="1:20" s="11" customFormat="1" ht="23.25" customHeight="1">
      <c r="A95" s="420"/>
      <c r="B95" s="213"/>
      <c r="C95" s="213" t="s">
        <v>239</v>
      </c>
      <c r="D95" s="722">
        <f>세출예산서!E102</f>
        <v>0</v>
      </c>
      <c r="E95" s="47">
        <f>Q95+Q98</f>
        <v>17520000</v>
      </c>
      <c r="F95" s="47">
        <f t="shared" si="4"/>
        <v>17520000</v>
      </c>
      <c r="G95" s="214" t="s">
        <v>212</v>
      </c>
      <c r="H95" s="215"/>
      <c r="I95" s="21"/>
      <c r="J95" s="21"/>
      <c r="K95" s="21"/>
      <c r="L95" s="21"/>
      <c r="M95" s="21"/>
      <c r="N95" s="21"/>
      <c r="O95" s="21"/>
      <c r="P95" s="216" t="s">
        <v>3</v>
      </c>
      <c r="Q95" s="633">
        <f>SUM(Q96:Q97)</f>
        <v>17520000</v>
      </c>
      <c r="R95" s="416"/>
      <c r="S95" s="289">
        <f>Q95</f>
        <v>17520000</v>
      </c>
      <c r="T95" s="288"/>
    </row>
    <row r="96" spans="1:20" s="327" customFormat="1" ht="23.25" customHeight="1">
      <c r="A96" s="420"/>
      <c r="B96" s="14"/>
      <c r="C96" s="14"/>
      <c r="D96" s="723"/>
      <c r="E96" s="217"/>
      <c r="F96" s="217"/>
      <c r="G96" s="218" t="s">
        <v>107</v>
      </c>
      <c r="H96" s="219">
        <f>세입예산서!H35</f>
        <v>6000</v>
      </c>
      <c r="I96" s="22" t="s">
        <v>0</v>
      </c>
      <c r="J96" s="22" t="s">
        <v>1</v>
      </c>
      <c r="K96" s="328">
        <f>세입예산서!K35</f>
        <v>8</v>
      </c>
      <c r="L96" s="22" t="s">
        <v>2</v>
      </c>
      <c r="M96" s="22"/>
      <c r="N96" s="25">
        <v>365</v>
      </c>
      <c r="O96" s="22" t="s">
        <v>179</v>
      </c>
      <c r="P96" s="220" t="s">
        <v>3</v>
      </c>
      <c r="Q96" s="632">
        <f>H96*K96*N96</f>
        <v>17520000</v>
      </c>
      <c r="R96" s="417"/>
      <c r="S96" s="289"/>
      <c r="T96" s="288"/>
    </row>
    <row r="97" spans="1:20" s="327" customFormat="1" ht="23.25" customHeight="1">
      <c r="A97" s="420"/>
      <c r="B97" s="14"/>
      <c r="C97" s="14"/>
      <c r="D97" s="723"/>
      <c r="E97" s="217"/>
      <c r="F97" s="217"/>
      <c r="G97" s="218" t="s">
        <v>233</v>
      </c>
      <c r="H97" s="219">
        <f>세입예산서!H36</f>
        <v>0</v>
      </c>
      <c r="I97" s="22" t="s">
        <v>0</v>
      </c>
      <c r="J97" s="22" t="s">
        <v>1</v>
      </c>
      <c r="K97" s="328">
        <f>세입예산서!K36</f>
        <v>8</v>
      </c>
      <c r="L97" s="22" t="s">
        <v>2</v>
      </c>
      <c r="M97" s="22"/>
      <c r="N97" s="25">
        <v>365</v>
      </c>
      <c r="O97" s="22" t="s">
        <v>179</v>
      </c>
      <c r="P97" s="220" t="s">
        <v>3</v>
      </c>
      <c r="Q97" s="632">
        <f>H97*K97*N97</f>
        <v>0</v>
      </c>
      <c r="R97" s="417"/>
      <c r="S97" s="326"/>
      <c r="T97" s="325"/>
    </row>
    <row r="98" spans="1:20" s="11" customFormat="1" ht="23.25" customHeight="1">
      <c r="A98" s="420"/>
      <c r="B98" s="14"/>
      <c r="C98" s="14"/>
      <c r="D98" s="723"/>
      <c r="E98" s="217"/>
      <c r="F98" s="217"/>
      <c r="G98" s="631" t="s">
        <v>442</v>
      </c>
      <c r="H98" s="215"/>
      <c r="I98" s="21"/>
      <c r="J98" s="21"/>
      <c r="K98" s="21"/>
      <c r="L98" s="21"/>
      <c r="M98" s="21"/>
      <c r="N98" s="21"/>
      <c r="O98" s="21"/>
      <c r="P98" s="216" t="s">
        <v>3</v>
      </c>
      <c r="Q98" s="639">
        <f>SUM(Q99:Q100)</f>
        <v>0</v>
      </c>
      <c r="R98" s="417">
        <f>Q98</f>
        <v>0</v>
      </c>
      <c r="S98" s="326"/>
      <c r="T98" s="325"/>
    </row>
    <row r="99" spans="1:20" s="327" customFormat="1" ht="23.25" customHeight="1">
      <c r="A99" s="421"/>
      <c r="B99" s="323"/>
      <c r="C99" s="323"/>
      <c r="D99" s="203"/>
      <c r="E99" s="324"/>
      <c r="F99" s="324"/>
      <c r="G99" s="426" t="s">
        <v>231</v>
      </c>
      <c r="H99" s="219">
        <f>세입예산서!H55</f>
        <v>0</v>
      </c>
      <c r="I99" s="22" t="s">
        <v>0</v>
      </c>
      <c r="J99" s="22" t="s">
        <v>1</v>
      </c>
      <c r="K99" s="329">
        <f>세입예산서!K55</f>
        <v>0</v>
      </c>
      <c r="L99" s="22" t="s">
        <v>2</v>
      </c>
      <c r="M99" s="22"/>
      <c r="N99" s="25">
        <v>12</v>
      </c>
      <c r="O99" s="22" t="s">
        <v>16</v>
      </c>
      <c r="P99" s="220" t="s">
        <v>3</v>
      </c>
      <c r="Q99" s="632">
        <f>H99*K99*N99</f>
        <v>0</v>
      </c>
      <c r="R99" s="417"/>
      <c r="S99" s="289"/>
      <c r="T99" s="288"/>
    </row>
    <row r="100" spans="1:20" s="2" customFormat="1" ht="23.25" customHeight="1">
      <c r="A100" s="420"/>
      <c r="B100" s="14"/>
      <c r="C100" s="14"/>
      <c r="D100" s="723"/>
      <c r="E100" s="217"/>
      <c r="F100" s="217"/>
      <c r="G100" s="426" t="s">
        <v>232</v>
      </c>
      <c r="H100" s="219">
        <f>세입예산서!H56</f>
        <v>0</v>
      </c>
      <c r="I100" s="22" t="s">
        <v>0</v>
      </c>
      <c r="J100" s="22" t="s">
        <v>1</v>
      </c>
      <c r="K100" s="329">
        <f>세입예산서!K56</f>
        <v>0</v>
      </c>
      <c r="L100" s="22" t="s">
        <v>2</v>
      </c>
      <c r="M100" s="22"/>
      <c r="N100" s="25">
        <v>12</v>
      </c>
      <c r="O100" s="22" t="s">
        <v>16</v>
      </c>
      <c r="P100" s="220" t="s">
        <v>3</v>
      </c>
      <c r="Q100" s="632">
        <f>H100*K100*N100</f>
        <v>0</v>
      </c>
      <c r="R100" s="417"/>
      <c r="S100" s="326"/>
      <c r="T100" s="325"/>
    </row>
    <row r="101" spans="1:20" s="2" customFormat="1" ht="23.25" customHeight="1">
      <c r="A101" s="350"/>
      <c r="B101" s="7"/>
      <c r="C101" s="265" t="s">
        <v>240</v>
      </c>
      <c r="D101" s="704">
        <f>세출예산서!E111</f>
        <v>0</v>
      </c>
      <c r="E101" s="45">
        <f xml:space="preserve"> Q101</f>
        <v>6600000</v>
      </c>
      <c r="F101" s="45">
        <f>E101-D101</f>
        <v>6600000</v>
      </c>
      <c r="G101" s="160" t="s">
        <v>108</v>
      </c>
      <c r="H101" s="169"/>
      <c r="I101" s="170"/>
      <c r="J101" s="170"/>
      <c r="K101" s="170"/>
      <c r="L101" s="170"/>
      <c r="M101" s="170"/>
      <c r="N101" s="170"/>
      <c r="O101" s="170"/>
      <c r="P101" s="163" t="s">
        <v>3</v>
      </c>
      <c r="Q101" s="370">
        <f>SUM(Q102:Q104)</f>
        <v>6600000</v>
      </c>
      <c r="R101" s="418">
        <f>Q101</f>
        <v>6600000</v>
      </c>
      <c r="S101" s="332"/>
      <c r="T101" s="285"/>
    </row>
    <row r="102" spans="1:20" s="2" customFormat="1" ht="23.25" customHeight="1">
      <c r="A102" s="350"/>
      <c r="B102" s="7"/>
      <c r="C102" s="206"/>
      <c r="D102" s="705"/>
      <c r="E102" s="46"/>
      <c r="F102" s="46"/>
      <c r="G102" s="174" t="s">
        <v>109</v>
      </c>
      <c r="H102" s="477">
        <f>5400000/12</f>
        <v>450000</v>
      </c>
      <c r="I102" s="192" t="s">
        <v>0</v>
      </c>
      <c r="J102" s="192" t="s">
        <v>1</v>
      </c>
      <c r="K102" s="193" t="s">
        <v>4</v>
      </c>
      <c r="L102" s="192" t="s">
        <v>4</v>
      </c>
      <c r="M102" s="192" t="s">
        <v>4</v>
      </c>
      <c r="N102" s="194">
        <v>12</v>
      </c>
      <c r="O102" s="192" t="s">
        <v>20</v>
      </c>
      <c r="P102" s="195" t="s">
        <v>3</v>
      </c>
      <c r="Q102" s="347">
        <f>H102*N102</f>
        <v>5400000</v>
      </c>
      <c r="R102" s="418"/>
      <c r="S102" s="332"/>
      <c r="T102" s="285"/>
    </row>
    <row r="103" spans="1:20" s="2" customFormat="1" ht="23.25" customHeight="1">
      <c r="A103" s="350"/>
      <c r="B103" s="7"/>
      <c r="C103" s="206"/>
      <c r="D103" s="705"/>
      <c r="E103" s="46"/>
      <c r="F103" s="46"/>
      <c r="G103" s="174" t="s">
        <v>275</v>
      </c>
      <c r="H103" s="191">
        <v>100000</v>
      </c>
      <c r="I103" s="192" t="s">
        <v>0</v>
      </c>
      <c r="J103" s="192" t="s">
        <v>1</v>
      </c>
      <c r="K103" s="193" t="s">
        <v>4</v>
      </c>
      <c r="L103" s="192" t="s">
        <v>4</v>
      </c>
      <c r="M103" s="192" t="s">
        <v>4</v>
      </c>
      <c r="N103" s="194">
        <v>12</v>
      </c>
      <c r="O103" s="192" t="s">
        <v>20</v>
      </c>
      <c r="P103" s="195" t="s">
        <v>3</v>
      </c>
      <c r="Q103" s="347">
        <f>H103*N103</f>
        <v>1200000</v>
      </c>
      <c r="R103" s="418"/>
      <c r="S103" s="332"/>
      <c r="T103" s="285"/>
    </row>
    <row r="104" spans="1:20" s="2" customFormat="1" ht="23.25" customHeight="1">
      <c r="A104" s="350"/>
      <c r="B104" s="7"/>
      <c r="C104" s="7"/>
      <c r="D104" s="705"/>
      <c r="E104" s="46"/>
      <c r="F104" s="46"/>
      <c r="G104" s="174" t="s">
        <v>276</v>
      </c>
      <c r="H104" s="191">
        <v>0</v>
      </c>
      <c r="I104" s="192" t="s">
        <v>0</v>
      </c>
      <c r="J104" s="192" t="s">
        <v>1</v>
      </c>
      <c r="K104" s="193" t="s">
        <v>4</v>
      </c>
      <c r="L104" s="192" t="s">
        <v>4</v>
      </c>
      <c r="M104" s="192" t="s">
        <v>4</v>
      </c>
      <c r="N104" s="194">
        <v>12</v>
      </c>
      <c r="O104" s="192" t="s">
        <v>20</v>
      </c>
      <c r="P104" s="195" t="s">
        <v>3</v>
      </c>
      <c r="Q104" s="347">
        <f>H104*N104</f>
        <v>0</v>
      </c>
      <c r="R104" s="405"/>
      <c r="S104" s="285"/>
      <c r="T104" s="285"/>
    </row>
    <row r="105" spans="1:20" s="2" customFormat="1" ht="23.25" customHeight="1">
      <c r="A105" s="350"/>
      <c r="B105" s="7"/>
      <c r="C105" s="10" t="s">
        <v>241</v>
      </c>
      <c r="D105" s="704">
        <f>세출예산서!E115</f>
        <v>9768000</v>
      </c>
      <c r="E105" s="45">
        <f xml:space="preserve"> Q105</f>
        <v>0</v>
      </c>
      <c r="F105" s="45">
        <f>E105-D105</f>
        <v>-9768000</v>
      </c>
      <c r="G105" s="13" t="s">
        <v>110</v>
      </c>
      <c r="H105" s="95"/>
      <c r="I105" s="16"/>
      <c r="J105" s="16"/>
      <c r="K105" s="35"/>
      <c r="L105" s="16"/>
      <c r="M105" s="16"/>
      <c r="N105" s="17"/>
      <c r="O105" s="16"/>
      <c r="P105" s="16"/>
      <c r="Q105" s="396">
        <f>SUM(Q106:Q106)</f>
        <v>0</v>
      </c>
      <c r="R105" s="408">
        <f>Q105</f>
        <v>0</v>
      </c>
      <c r="S105" s="285"/>
      <c r="T105" s="285"/>
    </row>
    <row r="106" spans="1:20" s="2" customFormat="1" ht="23.25" customHeight="1">
      <c r="A106" s="350"/>
      <c r="B106" s="7"/>
      <c r="C106" s="7"/>
      <c r="D106" s="705"/>
      <c r="E106" s="46"/>
      <c r="F106" s="46"/>
      <c r="G106" s="278" t="s">
        <v>229</v>
      </c>
      <c r="H106" s="96">
        <v>0</v>
      </c>
      <c r="I106" s="22" t="s">
        <v>0</v>
      </c>
      <c r="J106" s="22" t="s">
        <v>1</v>
      </c>
      <c r="K106" s="36">
        <v>1</v>
      </c>
      <c r="L106" s="22" t="s">
        <v>2</v>
      </c>
      <c r="M106" s="22" t="s">
        <v>1</v>
      </c>
      <c r="N106" s="25">
        <v>12</v>
      </c>
      <c r="O106" s="22" t="s">
        <v>12</v>
      </c>
      <c r="P106" s="22"/>
      <c r="Q106" s="344">
        <f>H106*N106*K106</f>
        <v>0</v>
      </c>
      <c r="R106" s="405"/>
      <c r="S106" s="285"/>
      <c r="T106" s="285"/>
    </row>
    <row r="107" spans="1:20" s="2" customFormat="1" ht="23.25" customHeight="1">
      <c r="A107" s="350"/>
      <c r="B107" s="7"/>
      <c r="C107" s="10" t="s">
        <v>242</v>
      </c>
      <c r="D107" s="704">
        <f>세출예산서!E117</f>
        <v>0</v>
      </c>
      <c r="E107" s="45">
        <f xml:space="preserve"> Q107</f>
        <v>0</v>
      </c>
      <c r="F107" s="45">
        <f>E107-D107</f>
        <v>0</v>
      </c>
      <c r="G107" s="13" t="s">
        <v>111</v>
      </c>
      <c r="H107" s="95"/>
      <c r="I107" s="16"/>
      <c r="J107" s="16"/>
      <c r="K107" s="35"/>
      <c r="L107" s="16"/>
      <c r="M107" s="16"/>
      <c r="N107" s="17"/>
      <c r="O107" s="16"/>
      <c r="P107" s="16"/>
      <c r="Q107" s="396">
        <f>SUM(Q108:Q108)</f>
        <v>0</v>
      </c>
      <c r="R107" s="408">
        <f>Q107</f>
        <v>0</v>
      </c>
      <c r="S107" s="285"/>
      <c r="T107" s="285"/>
    </row>
    <row r="108" spans="1:20" s="2" customFormat="1" ht="23.25" customHeight="1">
      <c r="A108" s="350"/>
      <c r="B108" s="7"/>
      <c r="C108" s="7"/>
      <c r="D108" s="705"/>
      <c r="E108" s="46"/>
      <c r="F108" s="46"/>
      <c r="G108" s="60" t="s">
        <v>112</v>
      </c>
      <c r="H108" s="97">
        <v>0</v>
      </c>
      <c r="I108" s="54" t="s">
        <v>0</v>
      </c>
      <c r="J108" s="54" t="s">
        <v>1</v>
      </c>
      <c r="K108" s="61">
        <v>1</v>
      </c>
      <c r="L108" s="54" t="s">
        <v>2</v>
      </c>
      <c r="M108" s="54" t="s">
        <v>1</v>
      </c>
      <c r="N108" s="56">
        <v>6</v>
      </c>
      <c r="O108" s="54" t="s">
        <v>12</v>
      </c>
      <c r="P108" s="54"/>
      <c r="Q108" s="347">
        <f>H108*N108*K108</f>
        <v>0</v>
      </c>
      <c r="R108" s="405"/>
      <c r="S108" s="285"/>
      <c r="T108" s="285"/>
    </row>
    <row r="109" spans="1:20" s="2" customFormat="1" ht="23.25" customHeight="1">
      <c r="A109" s="350"/>
      <c r="B109" s="1138" t="s">
        <v>383</v>
      </c>
      <c r="C109" s="1137"/>
      <c r="D109" s="721">
        <f>세출예산서!E121</f>
        <v>0</v>
      </c>
      <c r="E109" s="78">
        <f>E110</f>
        <v>0</v>
      </c>
      <c r="F109" s="45">
        <f>E109-D109</f>
        <v>0</v>
      </c>
      <c r="G109" s="211"/>
      <c r="H109" s="212"/>
      <c r="I109" s="91"/>
      <c r="J109" s="91"/>
      <c r="K109" s="91"/>
      <c r="L109" s="91"/>
      <c r="M109" s="91"/>
      <c r="N109" s="91"/>
      <c r="O109" s="91"/>
      <c r="P109" s="84"/>
      <c r="Q109" s="369">
        <f>Q110</f>
        <v>0</v>
      </c>
      <c r="R109" s="408">
        <f>Q109</f>
        <v>0</v>
      </c>
      <c r="S109" s="285"/>
      <c r="T109" s="285"/>
    </row>
    <row r="110" spans="1:20" s="2" customFormat="1" ht="23.25" customHeight="1">
      <c r="A110" s="350"/>
      <c r="B110" s="82"/>
      <c r="C110" s="10" t="s">
        <v>358</v>
      </c>
      <c r="D110" s="704">
        <f>세출예산서!E122</f>
        <v>0</v>
      </c>
      <c r="E110" s="45">
        <f xml:space="preserve"> Q110</f>
        <v>0</v>
      </c>
      <c r="F110" s="45">
        <f>E110-D110</f>
        <v>0</v>
      </c>
      <c r="G110" s="221" t="s">
        <v>113</v>
      </c>
      <c r="H110" s="222"/>
      <c r="I110" s="170"/>
      <c r="J110" s="170"/>
      <c r="K110" s="170"/>
      <c r="L110" s="170"/>
      <c r="M110" s="170"/>
      <c r="N110" s="170"/>
      <c r="O110" s="170"/>
      <c r="P110" s="163" t="s">
        <v>3</v>
      </c>
      <c r="Q110" s="370">
        <f>SUM(Q111:Q111)</f>
        <v>0</v>
      </c>
      <c r="R110" s="408">
        <f>Q111</f>
        <v>0</v>
      </c>
      <c r="S110" s="285"/>
      <c r="T110" s="285"/>
    </row>
    <row r="111" spans="1:20" s="2" customFormat="1" ht="23.25" customHeight="1" thickBot="1">
      <c r="A111" s="350"/>
      <c r="B111" s="81"/>
      <c r="C111" s="7"/>
      <c r="D111" s="705"/>
      <c r="E111" s="46"/>
      <c r="F111" s="46"/>
      <c r="G111" s="429" t="s">
        <v>247</v>
      </c>
      <c r="H111" s="470">
        <v>0</v>
      </c>
      <c r="I111" s="175" t="s">
        <v>0</v>
      </c>
      <c r="J111" s="175" t="s">
        <v>1</v>
      </c>
      <c r="K111" s="177">
        <v>1</v>
      </c>
      <c r="L111" s="175"/>
      <c r="M111" s="175" t="s">
        <v>1</v>
      </c>
      <c r="N111" s="177">
        <v>12</v>
      </c>
      <c r="O111" s="175" t="s">
        <v>12</v>
      </c>
      <c r="P111" s="178" t="s">
        <v>3</v>
      </c>
      <c r="Q111" s="344">
        <f>(H111*K111)*N111</f>
        <v>0</v>
      </c>
      <c r="S111" s="285"/>
      <c r="T111" s="285"/>
    </row>
    <row r="112" spans="1:20" s="2" customFormat="1" ht="23.25" customHeight="1">
      <c r="A112" s="1099" t="s">
        <v>359</v>
      </c>
      <c r="B112" s="1100"/>
      <c r="C112" s="1101"/>
      <c r="D112" s="724">
        <f>세출예산서!E126</f>
        <v>0</v>
      </c>
      <c r="E112" s="335">
        <f>E113</f>
        <v>25200000</v>
      </c>
      <c r="F112" s="368">
        <f t="shared" ref="F112:F121" si="5">E112-D112</f>
        <v>25200000</v>
      </c>
      <c r="G112" s="237"/>
      <c r="H112" s="238"/>
      <c r="I112" s="238"/>
      <c r="J112" s="238"/>
      <c r="K112" s="238"/>
      <c r="L112" s="238"/>
      <c r="M112" s="238"/>
      <c r="N112" s="238"/>
      <c r="O112" s="238"/>
      <c r="P112" s="238"/>
      <c r="Q112" s="398">
        <f>Q113</f>
        <v>25200000</v>
      </c>
      <c r="R112" s="408">
        <f>Q112</f>
        <v>25200000</v>
      </c>
      <c r="S112" s="287"/>
      <c r="T112" s="285"/>
    </row>
    <row r="113" spans="1:20" s="2" customFormat="1" ht="23.25" customHeight="1">
      <c r="A113" s="346"/>
      <c r="B113" s="1172" t="s">
        <v>360</v>
      </c>
      <c r="C113" s="1165"/>
      <c r="D113" s="725">
        <f>세출예산서!E127</f>
        <v>0</v>
      </c>
      <c r="E113" s="44">
        <f>E114+E115</f>
        <v>25200000</v>
      </c>
      <c r="F113" s="45">
        <f t="shared" si="5"/>
        <v>25200000</v>
      </c>
      <c r="G113" s="158"/>
      <c r="H113" s="224"/>
      <c r="I113" s="156"/>
      <c r="J113" s="156"/>
      <c r="K113" s="156"/>
      <c r="L113" s="156"/>
      <c r="M113" s="156"/>
      <c r="N113" s="156"/>
      <c r="O113" s="156"/>
      <c r="P113" s="163"/>
      <c r="Q113" s="360">
        <f>Q114+Q115</f>
        <v>25200000</v>
      </c>
      <c r="R113" s="405"/>
      <c r="S113" s="285"/>
      <c r="T113" s="285"/>
    </row>
    <row r="114" spans="1:20" s="2" customFormat="1" ht="23.25" customHeight="1">
      <c r="A114" s="383" t="s">
        <v>4</v>
      </c>
      <c r="B114" s="10"/>
      <c r="C114" s="491" t="s">
        <v>364</v>
      </c>
      <c r="D114" s="726">
        <f>세출예산서!E128</f>
        <v>300000</v>
      </c>
      <c r="E114" s="45">
        <f>Q114</f>
        <v>0</v>
      </c>
      <c r="F114" s="45">
        <f t="shared" si="5"/>
        <v>-300000</v>
      </c>
      <c r="G114" s="10" t="s">
        <v>363</v>
      </c>
      <c r="H114" s="490">
        <v>0</v>
      </c>
      <c r="I114" s="231" t="s">
        <v>0</v>
      </c>
      <c r="J114" s="231"/>
      <c r="K114" s="231"/>
      <c r="L114" s="231"/>
      <c r="M114" s="231"/>
      <c r="N114" s="231"/>
      <c r="O114" s="231"/>
      <c r="P114" s="159" t="s">
        <v>3</v>
      </c>
      <c r="Q114" s="361">
        <f>H114</f>
        <v>0</v>
      </c>
      <c r="R114" s="405"/>
      <c r="S114" s="285"/>
      <c r="T114" s="285"/>
    </row>
    <row r="115" spans="1:20" s="2" customFormat="1" ht="23.25" customHeight="1" thickBot="1">
      <c r="A115" s="375" t="s">
        <v>4</v>
      </c>
      <c r="B115" s="232"/>
      <c r="C115" s="376" t="s">
        <v>361</v>
      </c>
      <c r="D115" s="727">
        <f>세출예산서!E129</f>
        <v>0</v>
      </c>
      <c r="E115" s="364">
        <f>Q115</f>
        <v>25200000</v>
      </c>
      <c r="F115" s="364">
        <f t="shared" si="5"/>
        <v>25200000</v>
      </c>
      <c r="G115" s="666" t="s">
        <v>362</v>
      </c>
      <c r="H115" s="667">
        <v>2100000</v>
      </c>
      <c r="I115" s="668" t="s">
        <v>0</v>
      </c>
      <c r="J115" s="668" t="s">
        <v>1</v>
      </c>
      <c r="K115" s="669">
        <v>1</v>
      </c>
      <c r="L115" s="668"/>
      <c r="M115" s="668" t="s">
        <v>1</v>
      </c>
      <c r="N115" s="669">
        <v>12</v>
      </c>
      <c r="O115" s="668" t="s">
        <v>12</v>
      </c>
      <c r="P115" s="670" t="s">
        <v>3</v>
      </c>
      <c r="Q115" s="671">
        <f>(H115*K115)*N115</f>
        <v>25200000</v>
      </c>
      <c r="R115" s="405"/>
      <c r="S115" s="285"/>
      <c r="T115" s="285"/>
    </row>
    <row r="116" spans="1:20" s="2" customFormat="1" ht="23.25" customHeight="1">
      <c r="A116" s="1099" t="s">
        <v>365</v>
      </c>
      <c r="B116" s="1100"/>
      <c r="C116" s="1101"/>
      <c r="D116" s="728">
        <f>세출예산서!E130</f>
        <v>0</v>
      </c>
      <c r="E116" s="378">
        <f>E117</f>
        <v>0</v>
      </c>
      <c r="F116" s="368">
        <f t="shared" si="5"/>
        <v>0</v>
      </c>
      <c r="G116" s="379"/>
      <c r="H116" s="380"/>
      <c r="I116" s="380"/>
      <c r="J116" s="380"/>
      <c r="K116" s="380"/>
      <c r="L116" s="380"/>
      <c r="M116" s="380"/>
      <c r="N116" s="380"/>
      <c r="O116" s="380"/>
      <c r="P116" s="380"/>
      <c r="Q116" s="398">
        <f>Q117</f>
        <v>0</v>
      </c>
      <c r="R116" s="405"/>
      <c r="S116" s="287">
        <f>Q116</f>
        <v>0</v>
      </c>
      <c r="T116" s="285"/>
    </row>
    <row r="117" spans="1:20" s="2" customFormat="1" ht="23.25" customHeight="1">
      <c r="A117" s="338"/>
      <c r="B117" s="1172" t="s">
        <v>366</v>
      </c>
      <c r="C117" s="1165"/>
      <c r="D117" s="718">
        <f>세출예산서!E131</f>
        <v>0</v>
      </c>
      <c r="E117" s="48">
        <f>E118</f>
        <v>0</v>
      </c>
      <c r="F117" s="103">
        <f t="shared" si="5"/>
        <v>0</v>
      </c>
      <c r="G117" s="158"/>
      <c r="H117" s="224"/>
      <c r="I117" s="156"/>
      <c r="J117" s="156"/>
      <c r="K117" s="156"/>
      <c r="L117" s="156"/>
      <c r="M117" s="156"/>
      <c r="N117" s="156"/>
      <c r="O117" s="156"/>
      <c r="P117" s="163"/>
      <c r="Q117" s="360">
        <f>Q118</f>
        <v>0</v>
      </c>
      <c r="R117" s="405"/>
      <c r="S117" s="285"/>
      <c r="T117" s="285"/>
    </row>
    <row r="118" spans="1:20" s="2" customFormat="1" ht="23.25" customHeight="1" thickBot="1">
      <c r="A118" s="375" t="s">
        <v>4</v>
      </c>
      <c r="B118" s="381"/>
      <c r="C118" s="232" t="s">
        <v>243</v>
      </c>
      <c r="D118" s="717">
        <f>세출예산서!E132</f>
        <v>1440000</v>
      </c>
      <c r="E118" s="223">
        <f>Q118</f>
        <v>0</v>
      </c>
      <c r="F118" s="223">
        <f t="shared" si="5"/>
        <v>-1440000</v>
      </c>
      <c r="G118" s="232" t="s">
        <v>114</v>
      </c>
      <c r="H118" s="377">
        <v>0</v>
      </c>
      <c r="I118" s="233" t="s">
        <v>0</v>
      </c>
      <c r="J118" s="233"/>
      <c r="K118" s="233"/>
      <c r="L118" s="233"/>
      <c r="M118" s="233"/>
      <c r="N118" s="233"/>
      <c r="O118" s="233"/>
      <c r="P118" s="236" t="s">
        <v>3</v>
      </c>
      <c r="Q118" s="365">
        <f>H118</f>
        <v>0</v>
      </c>
      <c r="R118" s="405"/>
      <c r="S118" s="285"/>
      <c r="T118" s="285"/>
    </row>
    <row r="119" spans="1:20" s="2" customFormat="1" ht="23.25" customHeight="1">
      <c r="A119" s="1099" t="s">
        <v>367</v>
      </c>
      <c r="B119" s="1100"/>
      <c r="C119" s="1101"/>
      <c r="D119" s="729">
        <f>세출예산서!E133</f>
        <v>1440000</v>
      </c>
      <c r="E119" s="378">
        <f>E120</f>
        <v>0</v>
      </c>
      <c r="F119" s="382">
        <f t="shared" si="5"/>
        <v>-1440000</v>
      </c>
      <c r="G119" s="237"/>
      <c r="H119" s="238"/>
      <c r="I119" s="238"/>
      <c r="J119" s="238"/>
      <c r="K119" s="238"/>
      <c r="L119" s="238"/>
      <c r="M119" s="238"/>
      <c r="N119" s="238"/>
      <c r="O119" s="1178">
        <f>O120</f>
        <v>0</v>
      </c>
      <c r="P119" s="1178"/>
      <c r="Q119" s="1179"/>
      <c r="R119" s="408"/>
      <c r="S119" s="285"/>
      <c r="T119" s="285"/>
    </row>
    <row r="120" spans="1:20" s="2" customFormat="1" ht="23.25" customHeight="1">
      <c r="A120" s="338"/>
      <c r="B120" s="1172" t="s">
        <v>368</v>
      </c>
      <c r="C120" s="1165"/>
      <c r="D120" s="718">
        <f>세출예산서!E134</f>
        <v>0</v>
      </c>
      <c r="E120" s="48">
        <f>E121+E124</f>
        <v>0</v>
      </c>
      <c r="F120" s="48">
        <f t="shared" si="5"/>
        <v>0</v>
      </c>
      <c r="G120" s="158"/>
      <c r="H120" s="156"/>
      <c r="I120" s="156"/>
      <c r="J120" s="156"/>
      <c r="K120" s="156"/>
      <c r="L120" s="156"/>
      <c r="M120" s="156"/>
      <c r="N120" s="156"/>
      <c r="O120" s="1167">
        <f>Q121+Q124</f>
        <v>0</v>
      </c>
      <c r="P120" s="1167"/>
      <c r="Q120" s="1168"/>
      <c r="R120" s="405"/>
      <c r="S120" s="285"/>
      <c r="T120" s="285"/>
    </row>
    <row r="121" spans="1:20" s="2" customFormat="1" ht="23.25" customHeight="1">
      <c r="A121" s="350"/>
      <c r="B121" s="5"/>
      <c r="C121" s="1180" t="s">
        <v>369</v>
      </c>
      <c r="D121" s="587">
        <f>세출예산서!E135</f>
        <v>0</v>
      </c>
      <c r="E121" s="1259">
        <f>Q121</f>
        <v>0</v>
      </c>
      <c r="F121" s="1259">
        <f t="shared" si="5"/>
        <v>0</v>
      </c>
      <c r="G121" s="158" t="s">
        <v>219</v>
      </c>
      <c r="H121" s="228"/>
      <c r="I121" s="156"/>
      <c r="J121" s="156"/>
      <c r="K121" s="156"/>
      <c r="L121" s="156"/>
      <c r="M121" s="156"/>
      <c r="N121" s="156"/>
      <c r="O121" s="156"/>
      <c r="P121" s="229" t="s">
        <v>3</v>
      </c>
      <c r="Q121" s="635">
        <f>Q122+Q123</f>
        <v>0</v>
      </c>
      <c r="R121" s="405"/>
      <c r="S121" s="287">
        <f>Q121</f>
        <v>0</v>
      </c>
      <c r="T121" s="285"/>
    </row>
    <row r="122" spans="1:20" s="2" customFormat="1" ht="23.25" customHeight="1">
      <c r="A122" s="383" t="s">
        <v>4</v>
      </c>
      <c r="B122" s="7"/>
      <c r="C122" s="1091"/>
      <c r="D122" s="587"/>
      <c r="E122" s="1264"/>
      <c r="F122" s="1264"/>
      <c r="G122" s="427" t="s">
        <v>220</v>
      </c>
      <c r="H122" s="318">
        <v>0</v>
      </c>
      <c r="I122" s="54" t="s">
        <v>0</v>
      </c>
      <c r="J122" s="54" t="s">
        <v>1</v>
      </c>
      <c r="K122" s="61">
        <v>1</v>
      </c>
      <c r="L122" s="54" t="s">
        <v>16</v>
      </c>
      <c r="M122" s="54" t="s">
        <v>1</v>
      </c>
      <c r="N122" s="56">
        <v>12</v>
      </c>
      <c r="O122" s="54" t="s">
        <v>12</v>
      </c>
      <c r="P122" s="159" t="s">
        <v>3</v>
      </c>
      <c r="Q122" s="634">
        <f>H122*N122*K122</f>
        <v>0</v>
      </c>
      <c r="R122" s="408"/>
      <c r="S122" s="290"/>
      <c r="T122" s="285"/>
    </row>
    <row r="123" spans="1:20" s="2" customFormat="1" ht="23.25" customHeight="1">
      <c r="A123" s="383"/>
      <c r="B123" s="7"/>
      <c r="C123" s="92"/>
      <c r="D123" s="730"/>
      <c r="E123" s="1260"/>
      <c r="F123" s="1260"/>
      <c r="G123" s="428" t="s">
        <v>221</v>
      </c>
      <c r="H123" s="318">
        <v>0</v>
      </c>
      <c r="I123" s="54" t="s">
        <v>0</v>
      </c>
      <c r="J123" s="54"/>
      <c r="K123" s="61"/>
      <c r="L123" s="54"/>
      <c r="M123" s="54"/>
      <c r="N123" s="56"/>
      <c r="O123" s="54"/>
      <c r="P123" s="187" t="s">
        <v>3</v>
      </c>
      <c r="Q123" s="634">
        <f>H123</f>
        <v>0</v>
      </c>
      <c r="R123" s="407"/>
      <c r="S123" s="287"/>
      <c r="T123" s="285"/>
    </row>
    <row r="124" spans="1:20" s="2" customFormat="1" ht="23.25" customHeight="1">
      <c r="A124" s="383"/>
      <c r="B124" s="10"/>
      <c r="C124" s="1170" t="s">
        <v>370</v>
      </c>
      <c r="D124" s="731">
        <f>세출예산서!E139</f>
        <v>9000000</v>
      </c>
      <c r="E124" s="1259">
        <f>Q124</f>
        <v>0</v>
      </c>
      <c r="F124" s="102">
        <f>E124-D124</f>
        <v>-9000000</v>
      </c>
      <c r="G124" s="158" t="s">
        <v>115</v>
      </c>
      <c r="H124" s="228"/>
      <c r="I124" s="156"/>
      <c r="J124" s="156"/>
      <c r="K124" s="156"/>
      <c r="L124" s="156"/>
      <c r="M124" s="156"/>
      <c r="N124" s="156"/>
      <c r="O124" s="156"/>
      <c r="P124" s="229" t="s">
        <v>3</v>
      </c>
      <c r="Q124" s="474">
        <f>Q125</f>
        <v>0</v>
      </c>
      <c r="R124" s="408">
        <f>Q124</f>
        <v>0</v>
      </c>
      <c r="S124" s="287"/>
      <c r="T124" s="285"/>
    </row>
    <row r="125" spans="1:20" s="2" customFormat="1" ht="23.25" customHeight="1" thickBot="1">
      <c r="A125" s="375"/>
      <c r="B125" s="204"/>
      <c r="C125" s="1171"/>
      <c r="D125" s="732"/>
      <c r="E125" s="1266"/>
      <c r="F125" s="384"/>
      <c r="G125" s="232" t="s">
        <v>116</v>
      </c>
      <c r="H125" s="371">
        <v>0</v>
      </c>
      <c r="I125" s="372" t="s">
        <v>0</v>
      </c>
      <c r="J125" s="372" t="s">
        <v>1</v>
      </c>
      <c r="K125" s="373">
        <v>1</v>
      </c>
      <c r="L125" s="372" t="s">
        <v>16</v>
      </c>
      <c r="M125" s="372" t="s">
        <v>1</v>
      </c>
      <c r="N125" s="374">
        <v>12</v>
      </c>
      <c r="O125" s="372" t="s">
        <v>12</v>
      </c>
      <c r="P125" s="372"/>
      <c r="Q125" s="385">
        <f>H125*N125*K125</f>
        <v>0</v>
      </c>
      <c r="R125" s="408"/>
      <c r="S125" s="285"/>
      <c r="T125" s="285"/>
    </row>
    <row r="126" spans="1:20" s="2" customFormat="1" ht="23.25" customHeight="1">
      <c r="A126" s="1099" t="s">
        <v>371</v>
      </c>
      <c r="B126" s="1100"/>
      <c r="C126" s="1101"/>
      <c r="D126" s="728">
        <f>세출예산서!E141</f>
        <v>9000000</v>
      </c>
      <c r="E126" s="378">
        <f>E127</f>
        <v>870695</v>
      </c>
      <c r="F126" s="378">
        <f t="shared" ref="F126:F139" si="6">E126-D126</f>
        <v>-8129305</v>
      </c>
      <c r="G126" s="237"/>
      <c r="H126" s="238"/>
      <c r="I126" s="238"/>
      <c r="J126" s="238"/>
      <c r="K126" s="238"/>
      <c r="L126" s="238"/>
      <c r="M126" s="238"/>
      <c r="N126" s="238"/>
      <c r="O126" s="238"/>
      <c r="P126" s="238"/>
      <c r="Q126" s="640">
        <f>Q127</f>
        <v>870695</v>
      </c>
      <c r="R126" s="407">
        <f>Q126</f>
        <v>870695</v>
      </c>
      <c r="S126" s="290"/>
      <c r="T126" s="285"/>
    </row>
    <row r="127" spans="1:20" s="2" customFormat="1" ht="23.25" customHeight="1">
      <c r="A127" s="348"/>
      <c r="B127" s="1164" t="s">
        <v>372</v>
      </c>
      <c r="C127" s="1165"/>
      <c r="D127" s="120">
        <f>세출예산서!E142</f>
        <v>0</v>
      </c>
      <c r="E127" s="44">
        <f>E128</f>
        <v>870695</v>
      </c>
      <c r="F127" s="44">
        <f t="shared" si="6"/>
        <v>870695</v>
      </c>
      <c r="G127" s="158"/>
      <c r="H127" s="156"/>
      <c r="I127" s="156"/>
      <c r="J127" s="156"/>
      <c r="K127" s="156"/>
      <c r="L127" s="156"/>
      <c r="M127" s="156"/>
      <c r="N127" s="156"/>
      <c r="O127" s="156"/>
      <c r="P127" s="156"/>
      <c r="Q127" s="386">
        <f>Q128</f>
        <v>870695</v>
      </c>
      <c r="R127" s="407"/>
      <c r="S127" s="290"/>
      <c r="T127" s="285"/>
    </row>
    <row r="128" spans="1:20" s="2" customFormat="1" ht="23.25" customHeight="1" thickBot="1">
      <c r="A128" s="387"/>
      <c r="B128" s="230"/>
      <c r="C128" s="10" t="s">
        <v>244</v>
      </c>
      <c r="D128" s="704">
        <f>세출예산서!E143</f>
        <v>0</v>
      </c>
      <c r="E128" s="46">
        <f>Q128</f>
        <v>870695</v>
      </c>
      <c r="F128" s="46">
        <f t="shared" si="6"/>
        <v>870695</v>
      </c>
      <c r="G128" s="231" t="s">
        <v>117</v>
      </c>
      <c r="H128" s="488">
        <v>870695</v>
      </c>
      <c r="I128" s="231" t="s">
        <v>0</v>
      </c>
      <c r="J128" s="172" t="s">
        <v>4</v>
      </c>
      <c r="K128" s="231" t="s">
        <v>4</v>
      </c>
      <c r="L128" s="172" t="s">
        <v>4</v>
      </c>
      <c r="M128" s="172" t="s">
        <v>4</v>
      </c>
      <c r="N128" s="231" t="s">
        <v>4</v>
      </c>
      <c r="O128" s="172" t="s">
        <v>4</v>
      </c>
      <c r="P128" s="159" t="s">
        <v>3</v>
      </c>
      <c r="Q128" s="361">
        <f>H128</f>
        <v>870695</v>
      </c>
      <c r="R128" s="407"/>
      <c r="S128" s="290"/>
      <c r="T128" s="285"/>
    </row>
    <row r="129" spans="1:20" s="2" customFormat="1" ht="23.25" customHeight="1">
      <c r="A129" s="1296" t="s">
        <v>375</v>
      </c>
      <c r="B129" s="1297"/>
      <c r="C129" s="1298"/>
      <c r="D129" s="729">
        <f>세출예산서!E144</f>
        <v>0</v>
      </c>
      <c r="E129" s="378">
        <f>E130</f>
        <v>8783420</v>
      </c>
      <c r="F129" s="378">
        <f t="shared" si="6"/>
        <v>8783420</v>
      </c>
      <c r="G129" s="659"/>
      <c r="H129" s="660"/>
      <c r="I129" s="660"/>
      <c r="J129" s="660"/>
      <c r="K129" s="660"/>
      <c r="L129" s="660"/>
      <c r="M129" s="660"/>
      <c r="N129" s="660"/>
      <c r="O129" s="660"/>
      <c r="P129" s="660"/>
      <c r="Q129" s="672">
        <f>Q130</f>
        <v>8783420</v>
      </c>
      <c r="R129" s="407"/>
      <c r="S129" s="290">
        <f>Q129</f>
        <v>8783420</v>
      </c>
      <c r="T129" s="285"/>
    </row>
    <row r="130" spans="1:20" s="2" customFormat="1" ht="23.25" customHeight="1">
      <c r="A130" s="348"/>
      <c r="B130" s="1299" t="s">
        <v>378</v>
      </c>
      <c r="C130" s="1072"/>
      <c r="D130" s="703">
        <f>세출예산서!E145</f>
        <v>0</v>
      </c>
      <c r="E130" s="44">
        <f>E132+E131</f>
        <v>8783420</v>
      </c>
      <c r="F130" s="44">
        <f t="shared" si="6"/>
        <v>8783420</v>
      </c>
      <c r="G130" s="158"/>
      <c r="H130" s="156"/>
      <c r="I130" s="156"/>
      <c r="J130" s="156"/>
      <c r="K130" s="156"/>
      <c r="L130" s="156"/>
      <c r="M130" s="156"/>
      <c r="N130" s="156"/>
      <c r="O130" s="156"/>
      <c r="P130" s="156"/>
      <c r="Q130" s="386">
        <f>Q132+Q131</f>
        <v>8783420</v>
      </c>
      <c r="R130" s="405"/>
      <c r="S130" s="285"/>
      <c r="T130" s="285"/>
    </row>
    <row r="131" spans="1:20" s="2" customFormat="1" ht="23.25" customHeight="1">
      <c r="A131" s="338"/>
      <c r="B131" s="492"/>
      <c r="C131" s="10" t="s">
        <v>245</v>
      </c>
      <c r="D131" s="705">
        <f>세출예산서!E146</f>
        <v>0</v>
      </c>
      <c r="E131" s="46">
        <f>Q131</f>
        <v>8783420</v>
      </c>
      <c r="F131" s="46">
        <f t="shared" si="6"/>
        <v>8783420</v>
      </c>
      <c r="G131" s="231" t="s">
        <v>27</v>
      </c>
      <c r="H131" s="488">
        <v>8783420</v>
      </c>
      <c r="I131" s="231" t="s">
        <v>0</v>
      </c>
      <c r="J131" s="172" t="s">
        <v>4</v>
      </c>
      <c r="K131" s="231" t="s">
        <v>4</v>
      </c>
      <c r="L131" s="172" t="s">
        <v>4</v>
      </c>
      <c r="M131" s="172" t="s">
        <v>4</v>
      </c>
      <c r="N131" s="231" t="s">
        <v>4</v>
      </c>
      <c r="O131" s="172" t="s">
        <v>4</v>
      </c>
      <c r="P131" s="159" t="s">
        <v>3</v>
      </c>
      <c r="Q131" s="361">
        <f>H131</f>
        <v>8783420</v>
      </c>
      <c r="R131" s="405"/>
      <c r="S131" s="285"/>
      <c r="T131" s="285"/>
    </row>
    <row r="132" spans="1:20" s="2" customFormat="1" ht="23.25" customHeight="1" thickBot="1">
      <c r="A132" s="390"/>
      <c r="B132" s="352"/>
      <c r="C132" s="232" t="s">
        <v>373</v>
      </c>
      <c r="D132" s="719">
        <f>세출예산서!E147</f>
        <v>0</v>
      </c>
      <c r="E132" s="364">
        <f>Q132</f>
        <v>0</v>
      </c>
      <c r="F132" s="364">
        <f t="shared" si="6"/>
        <v>0</v>
      </c>
      <c r="G132" s="233" t="s">
        <v>374</v>
      </c>
      <c r="H132" s="234">
        <v>0</v>
      </c>
      <c r="I132" s="233" t="s">
        <v>0</v>
      </c>
      <c r="J132" s="235" t="s">
        <v>4</v>
      </c>
      <c r="K132" s="233" t="s">
        <v>4</v>
      </c>
      <c r="L132" s="235" t="s">
        <v>4</v>
      </c>
      <c r="M132" s="235" t="s">
        <v>4</v>
      </c>
      <c r="N132" s="233" t="s">
        <v>4</v>
      </c>
      <c r="O132" s="235" t="s">
        <v>4</v>
      </c>
      <c r="P132" s="236" t="s">
        <v>3</v>
      </c>
      <c r="Q132" s="365">
        <f>H132</f>
        <v>0</v>
      </c>
      <c r="R132" s="419"/>
      <c r="S132" s="291"/>
      <c r="T132" s="285"/>
    </row>
    <row r="133" spans="1:20" s="2" customFormat="1" ht="23.25" customHeight="1">
      <c r="A133" s="1099" t="s">
        <v>376</v>
      </c>
      <c r="B133" s="1100"/>
      <c r="C133" s="1101"/>
      <c r="D133" s="724">
        <f>세출예산서!E148</f>
        <v>0</v>
      </c>
      <c r="E133" s="335">
        <f>E134</f>
        <v>0</v>
      </c>
      <c r="F133" s="335">
        <f t="shared" si="6"/>
        <v>0</v>
      </c>
      <c r="G133" s="237"/>
      <c r="H133" s="238"/>
      <c r="I133" s="238"/>
      <c r="J133" s="238"/>
      <c r="K133" s="238"/>
      <c r="L133" s="238"/>
      <c r="M133" s="238"/>
      <c r="N133" s="238"/>
      <c r="O133" s="389"/>
      <c r="P133" s="1294">
        <f>O134</f>
        <v>0</v>
      </c>
      <c r="Q133" s="1295"/>
      <c r="R133" s="408">
        <f>P133</f>
        <v>0</v>
      </c>
      <c r="S133" s="287"/>
      <c r="T133" s="285"/>
    </row>
    <row r="134" spans="1:20" s="2" customFormat="1" ht="23.25" customHeight="1">
      <c r="A134" s="348"/>
      <c r="B134" s="1169" t="s">
        <v>377</v>
      </c>
      <c r="C134" s="1165"/>
      <c r="D134" s="120">
        <f>세출예산서!E149</f>
        <v>0</v>
      </c>
      <c r="E134" s="44">
        <f>E135+E136</f>
        <v>0</v>
      </c>
      <c r="F134" s="44">
        <f t="shared" si="6"/>
        <v>0</v>
      </c>
      <c r="G134" s="158"/>
      <c r="H134" s="156"/>
      <c r="I134" s="156"/>
      <c r="J134" s="156"/>
      <c r="K134" s="156"/>
      <c r="L134" s="156"/>
      <c r="M134" s="156"/>
      <c r="N134" s="156"/>
      <c r="O134" s="641"/>
      <c r="P134" s="641"/>
      <c r="Q134" s="386">
        <f>Q135+Q136</f>
        <v>0</v>
      </c>
      <c r="R134" s="405"/>
      <c r="S134" s="285"/>
      <c r="T134" s="285"/>
    </row>
    <row r="135" spans="1:20" s="2" customFormat="1" ht="26.25" customHeight="1">
      <c r="A135" s="387"/>
      <c r="B135" s="230"/>
      <c r="C135" s="10" t="s">
        <v>379</v>
      </c>
      <c r="D135" s="704">
        <f>세출예산서!E150</f>
        <v>0</v>
      </c>
      <c r="E135" s="46">
        <f>Q135</f>
        <v>0</v>
      </c>
      <c r="F135" s="46">
        <f t="shared" si="6"/>
        <v>0</v>
      </c>
      <c r="G135" s="494" t="s">
        <v>164</v>
      </c>
      <c r="H135" s="495">
        <v>0</v>
      </c>
      <c r="I135" s="54" t="s">
        <v>0</v>
      </c>
      <c r="J135" s="54" t="s">
        <v>1</v>
      </c>
      <c r="K135" s="61"/>
      <c r="L135" s="54"/>
      <c r="M135" s="54" t="s">
        <v>1</v>
      </c>
      <c r="N135" s="56">
        <v>12</v>
      </c>
      <c r="O135" s="54" t="s">
        <v>12</v>
      </c>
      <c r="P135" s="54"/>
      <c r="Q135" s="347">
        <f>H135*N135</f>
        <v>0</v>
      </c>
      <c r="R135" s="405"/>
      <c r="S135" s="285"/>
      <c r="T135" s="285"/>
    </row>
    <row r="136" spans="1:20" s="2" customFormat="1" ht="24" customHeight="1" thickBot="1">
      <c r="A136" s="390"/>
      <c r="B136" s="493"/>
      <c r="C136" s="391" t="s">
        <v>385</v>
      </c>
      <c r="D136" s="719">
        <f>세출예산서!E151</f>
        <v>0</v>
      </c>
      <c r="E136" s="364">
        <f>Q136</f>
        <v>0</v>
      </c>
      <c r="F136" s="392">
        <f t="shared" si="6"/>
        <v>0</v>
      </c>
      <c r="G136" s="393" t="s">
        <v>189</v>
      </c>
      <c r="H136" s="496">
        <v>0</v>
      </c>
      <c r="I136" s="497" t="s">
        <v>0</v>
      </c>
      <c r="J136" s="497" t="s">
        <v>1</v>
      </c>
      <c r="K136" s="498"/>
      <c r="L136" s="497"/>
      <c r="M136" s="497" t="s">
        <v>1</v>
      </c>
      <c r="N136" s="499">
        <v>12</v>
      </c>
      <c r="O136" s="497" t="s">
        <v>12</v>
      </c>
      <c r="P136" s="497"/>
      <c r="Q136" s="365">
        <f>H136*N136</f>
        <v>0</v>
      </c>
      <c r="R136" s="405"/>
      <c r="S136" s="285"/>
      <c r="T136" s="285"/>
    </row>
    <row r="137" spans="1:20" s="2" customFormat="1" ht="27" customHeight="1">
      <c r="A137" s="1134" t="s">
        <v>380</v>
      </c>
      <c r="B137" s="1135"/>
      <c r="C137" s="1135"/>
      <c r="D137" s="598">
        <f>세출예산서!E152</f>
        <v>1007179</v>
      </c>
      <c r="E137" s="500">
        <f>E138</f>
        <v>0</v>
      </c>
      <c r="F137" s="501">
        <f t="shared" si="6"/>
        <v>-1007179</v>
      </c>
      <c r="G137" s="502"/>
      <c r="H137" s="503"/>
      <c r="I137" s="503"/>
      <c r="J137" s="503"/>
      <c r="K137" s="503"/>
      <c r="L137" s="503"/>
      <c r="M137" s="503"/>
      <c r="N137" s="504"/>
      <c r="O137" s="503"/>
      <c r="P137" s="503"/>
      <c r="Q137" s="505">
        <f>Q138</f>
        <v>0</v>
      </c>
      <c r="R137" s="405"/>
      <c r="S137" s="287">
        <f>Q137</f>
        <v>0</v>
      </c>
      <c r="T137" s="285"/>
    </row>
    <row r="138" spans="1:20" s="2" customFormat="1" ht="24" customHeight="1">
      <c r="A138" s="506"/>
      <c r="B138" s="1136" t="s">
        <v>384</v>
      </c>
      <c r="C138" s="1137"/>
      <c r="D138" s="599">
        <f>세출예산서!E153</f>
        <v>1007179</v>
      </c>
      <c r="E138" s="78">
        <f>E139+E141</f>
        <v>0</v>
      </c>
      <c r="F138" s="119">
        <f t="shared" si="6"/>
        <v>-1007179</v>
      </c>
      <c r="G138" s="130"/>
      <c r="H138" s="131"/>
      <c r="I138" s="131"/>
      <c r="J138" s="131"/>
      <c r="K138" s="131"/>
      <c r="L138" s="131"/>
      <c r="M138" s="131"/>
      <c r="N138" s="453"/>
      <c r="O138" s="131"/>
      <c r="P138" s="131"/>
      <c r="Q138" s="507">
        <f>Q139+Q141</f>
        <v>0</v>
      </c>
      <c r="R138" s="405"/>
      <c r="S138" s="285"/>
      <c r="T138" s="285"/>
    </row>
    <row r="139" spans="1:20" s="2" customFormat="1" ht="24" customHeight="1">
      <c r="A139" s="508"/>
      <c r="B139" s="75"/>
      <c r="C139" s="1056" t="s">
        <v>381</v>
      </c>
      <c r="D139" s="1254">
        <f>세출예산서!E154</f>
        <v>1007179</v>
      </c>
      <c r="E139" s="1258">
        <f>Q139</f>
        <v>0</v>
      </c>
      <c r="F139" s="1259">
        <f t="shared" si="6"/>
        <v>-1007179</v>
      </c>
      <c r="G139" s="112" t="s">
        <v>303</v>
      </c>
      <c r="H139" s="70"/>
      <c r="I139" s="71"/>
      <c r="J139" s="20"/>
      <c r="K139" s="32"/>
      <c r="L139" s="21"/>
      <c r="M139" s="21"/>
      <c r="N139" s="454"/>
      <c r="O139" s="20"/>
      <c r="P139" s="20" t="s">
        <v>3</v>
      </c>
      <c r="Q139" s="509">
        <f>Q140</f>
        <v>0</v>
      </c>
      <c r="R139" s="405"/>
      <c r="S139" s="285"/>
      <c r="T139" s="285"/>
    </row>
    <row r="140" spans="1:20" s="2" customFormat="1" ht="24" customHeight="1">
      <c r="A140" s="508"/>
      <c r="B140" s="76"/>
      <c r="C140" s="1057"/>
      <c r="D140" s="1255"/>
      <c r="E140" s="1258"/>
      <c r="F140" s="1260"/>
      <c r="G140" s="485" t="s">
        <v>304</v>
      </c>
      <c r="H140" s="151">
        <v>0</v>
      </c>
      <c r="I140" s="12" t="s">
        <v>0</v>
      </c>
      <c r="J140" s="12"/>
      <c r="K140" s="64"/>
      <c r="L140" s="65"/>
      <c r="M140" s="65"/>
      <c r="N140" s="456"/>
      <c r="O140" s="12"/>
      <c r="P140" s="12" t="s">
        <v>3</v>
      </c>
      <c r="Q140" s="510">
        <f>H140</f>
        <v>0</v>
      </c>
      <c r="R140" s="405"/>
      <c r="S140" s="285"/>
      <c r="T140" s="285"/>
    </row>
    <row r="141" spans="1:20" s="2" customFormat="1" ht="24" customHeight="1">
      <c r="A141" s="508"/>
      <c r="B141" s="76"/>
      <c r="C141" s="1056" t="s">
        <v>382</v>
      </c>
      <c r="D141" s="1256">
        <f>세출예산서!E156</f>
        <v>0</v>
      </c>
      <c r="E141" s="1263">
        <f>Q141</f>
        <v>0</v>
      </c>
      <c r="F141" s="1259">
        <f>E141-D141</f>
        <v>0</v>
      </c>
      <c r="G141" s="105" t="s">
        <v>305</v>
      </c>
      <c r="H141" s="152"/>
      <c r="I141" s="153"/>
      <c r="J141" s="54"/>
      <c r="K141" s="154"/>
      <c r="L141" s="155"/>
      <c r="M141" s="155"/>
      <c r="N141" s="457"/>
      <c r="O141" s="54"/>
      <c r="P141" s="54" t="s">
        <v>3</v>
      </c>
      <c r="Q141" s="511">
        <f>Q142</f>
        <v>0</v>
      </c>
      <c r="R141" s="405"/>
      <c r="S141" s="285"/>
      <c r="T141" s="285"/>
    </row>
    <row r="142" spans="1:20" s="2" customFormat="1" ht="23.25" thickBot="1">
      <c r="A142" s="512"/>
      <c r="B142" s="513"/>
      <c r="C142" s="1129"/>
      <c r="D142" s="1261"/>
      <c r="E142" s="1265"/>
      <c r="F142" s="1266"/>
      <c r="G142" s="514" t="s">
        <v>306</v>
      </c>
      <c r="H142" s="515">
        <v>0</v>
      </c>
      <c r="I142" s="372" t="s">
        <v>0</v>
      </c>
      <c r="J142" s="372"/>
      <c r="K142" s="516"/>
      <c r="L142" s="517"/>
      <c r="M142" s="517"/>
      <c r="N142" s="518"/>
      <c r="O142" s="372"/>
      <c r="P142" s="372" t="s">
        <v>3</v>
      </c>
      <c r="Q142" s="519">
        <f>H142</f>
        <v>0</v>
      </c>
      <c r="R142" s="405"/>
      <c r="S142" s="285"/>
      <c r="T142" s="285"/>
    </row>
    <row r="143" spans="1:20" s="2" customFormat="1" ht="15.75" customHeight="1">
      <c r="D143" s="601"/>
      <c r="H143" s="98"/>
      <c r="P143" s="3"/>
    </row>
    <row r="144" spans="1:20" s="2" customFormat="1" ht="15.75" customHeight="1">
      <c r="D144" s="601"/>
      <c r="H144" s="98"/>
      <c r="P144" s="3"/>
    </row>
    <row r="145" spans="4:16" s="2" customFormat="1" ht="15.75" customHeight="1">
      <c r="D145" s="601"/>
      <c r="H145" s="98"/>
      <c r="P145" s="3"/>
    </row>
    <row r="146" spans="4:16" s="2" customFormat="1" ht="15.75" customHeight="1">
      <c r="D146" s="601"/>
      <c r="H146" s="98"/>
      <c r="P146" s="3"/>
    </row>
    <row r="147" spans="4:16" s="2" customFormat="1" ht="15.75" customHeight="1">
      <c r="D147" s="601"/>
      <c r="H147" s="98"/>
      <c r="P147" s="3"/>
    </row>
    <row r="148" spans="4:16" s="2" customFormat="1" ht="15.75" customHeight="1">
      <c r="D148" s="601"/>
      <c r="H148" s="98"/>
      <c r="P148" s="3"/>
    </row>
    <row r="149" spans="4:16" s="2" customFormat="1" ht="15.75" customHeight="1">
      <c r="D149" s="601"/>
      <c r="H149" s="98"/>
      <c r="P149" s="3"/>
    </row>
    <row r="150" spans="4:16" s="2" customFormat="1" ht="15.75" customHeight="1">
      <c r="D150" s="601"/>
      <c r="H150" s="98"/>
      <c r="P150" s="3"/>
    </row>
    <row r="151" spans="4:16" s="2" customFormat="1" ht="15.75" customHeight="1">
      <c r="D151" s="601"/>
      <c r="H151" s="98"/>
      <c r="P151" s="3"/>
    </row>
    <row r="152" spans="4:16" s="2" customFormat="1" ht="15.75" customHeight="1">
      <c r="D152" s="601"/>
      <c r="H152" s="98"/>
      <c r="P152" s="3"/>
    </row>
    <row r="153" spans="4:16" s="2" customFormat="1" ht="15.75" customHeight="1">
      <c r="D153" s="601"/>
      <c r="H153" s="98"/>
      <c r="P153" s="3"/>
    </row>
    <row r="154" spans="4:16" s="2" customFormat="1" ht="15.75" customHeight="1">
      <c r="D154" s="601"/>
      <c r="H154" s="98"/>
      <c r="P154" s="3"/>
    </row>
    <row r="155" spans="4:16" s="2" customFormat="1" ht="15.75" customHeight="1">
      <c r="D155" s="601"/>
      <c r="H155" s="98"/>
      <c r="P155" s="3"/>
    </row>
    <row r="156" spans="4:16" s="2" customFormat="1" ht="15.75" customHeight="1">
      <c r="D156" s="601"/>
      <c r="H156" s="98"/>
      <c r="P156" s="3"/>
    </row>
    <row r="157" spans="4:16" s="2" customFormat="1" ht="15.75" customHeight="1">
      <c r="D157" s="601"/>
      <c r="H157" s="98"/>
      <c r="P157" s="3"/>
    </row>
    <row r="158" spans="4:16" s="2" customFormat="1" ht="15.75" customHeight="1">
      <c r="D158" s="601"/>
      <c r="H158" s="98"/>
      <c r="P158" s="3"/>
    </row>
    <row r="159" spans="4:16" s="2" customFormat="1" ht="15.75" customHeight="1">
      <c r="D159" s="601"/>
      <c r="H159" s="98"/>
      <c r="P159" s="3"/>
    </row>
    <row r="160" spans="4:16" s="2" customFormat="1" ht="15.75" customHeight="1">
      <c r="D160" s="601"/>
      <c r="H160" s="98"/>
      <c r="P160" s="3"/>
    </row>
    <row r="161" spans="4:16" s="2" customFormat="1" ht="15.75" customHeight="1">
      <c r="D161" s="601"/>
      <c r="H161" s="98"/>
      <c r="P161" s="3"/>
    </row>
    <row r="162" spans="4:16" s="2" customFormat="1" ht="15.75" customHeight="1">
      <c r="D162" s="601"/>
      <c r="H162" s="98"/>
      <c r="P162" s="3"/>
    </row>
    <row r="163" spans="4:16" s="2" customFormat="1" ht="15.75" customHeight="1">
      <c r="D163" s="601"/>
      <c r="H163" s="98"/>
      <c r="P163" s="3"/>
    </row>
    <row r="164" spans="4:16" s="2" customFormat="1" ht="15.75" customHeight="1">
      <c r="D164" s="601"/>
      <c r="H164" s="98"/>
      <c r="P164" s="3"/>
    </row>
    <row r="165" spans="4:16" s="2" customFormat="1" ht="15.75" customHeight="1">
      <c r="D165" s="601"/>
      <c r="H165" s="98"/>
      <c r="P165" s="3"/>
    </row>
    <row r="166" spans="4:16" s="2" customFormat="1" ht="15.75" customHeight="1">
      <c r="D166" s="601"/>
      <c r="H166" s="98"/>
      <c r="P166" s="3"/>
    </row>
    <row r="167" spans="4:16" s="2" customFormat="1" ht="15.75" customHeight="1">
      <c r="D167" s="601"/>
      <c r="H167" s="98"/>
      <c r="P167" s="3"/>
    </row>
    <row r="168" spans="4:16" s="2" customFormat="1" ht="15.75" customHeight="1">
      <c r="D168" s="601"/>
      <c r="H168" s="98"/>
      <c r="P168" s="3"/>
    </row>
    <row r="169" spans="4:16" s="2" customFormat="1" ht="15.75" customHeight="1">
      <c r="D169" s="601"/>
      <c r="H169" s="98"/>
      <c r="P169" s="3"/>
    </row>
    <row r="170" spans="4:16" s="2" customFormat="1" ht="15.75" customHeight="1">
      <c r="D170" s="601"/>
      <c r="H170" s="98"/>
      <c r="P170" s="3"/>
    </row>
    <row r="171" spans="4:16" s="2" customFormat="1" ht="15.75" customHeight="1">
      <c r="D171" s="601"/>
      <c r="H171" s="98"/>
      <c r="P171" s="3"/>
    </row>
    <row r="172" spans="4:16" s="2" customFormat="1" ht="15.75" customHeight="1">
      <c r="D172" s="601"/>
      <c r="H172" s="98"/>
      <c r="P172" s="3"/>
    </row>
    <row r="173" spans="4:16" s="2" customFormat="1" ht="15.75" customHeight="1">
      <c r="D173" s="601"/>
      <c r="H173" s="98"/>
      <c r="P173" s="3"/>
    </row>
    <row r="174" spans="4:16" s="2" customFormat="1" ht="15.75" customHeight="1">
      <c r="D174" s="601"/>
      <c r="H174" s="98"/>
      <c r="P174" s="3"/>
    </row>
    <row r="175" spans="4:16" s="2" customFormat="1" ht="15.75" customHeight="1">
      <c r="D175" s="601"/>
      <c r="H175" s="98"/>
      <c r="P175" s="3"/>
    </row>
    <row r="176" spans="4:16" s="2" customFormat="1" ht="15.75" customHeight="1">
      <c r="D176" s="601"/>
      <c r="H176" s="98"/>
      <c r="P176" s="3"/>
    </row>
    <row r="177" spans="4:16" s="2" customFormat="1" ht="15.75" customHeight="1">
      <c r="D177" s="601"/>
      <c r="H177" s="98"/>
      <c r="P177" s="3"/>
    </row>
    <row r="178" spans="4:16" s="2" customFormat="1" ht="15.75" customHeight="1">
      <c r="D178" s="601"/>
      <c r="H178" s="98"/>
      <c r="P178" s="3"/>
    </row>
    <row r="179" spans="4:16" s="2" customFormat="1" ht="15.75" customHeight="1">
      <c r="D179" s="601"/>
      <c r="H179" s="98"/>
      <c r="P179" s="3"/>
    </row>
    <row r="180" spans="4:16" s="2" customFormat="1" ht="15.75" customHeight="1">
      <c r="D180" s="601"/>
      <c r="H180" s="98"/>
      <c r="P180" s="3"/>
    </row>
    <row r="181" spans="4:16" s="2" customFormat="1" ht="15.75" customHeight="1">
      <c r="D181" s="601"/>
      <c r="H181" s="98"/>
      <c r="P181" s="3"/>
    </row>
    <row r="182" spans="4:16" s="2" customFormat="1" ht="15.75" customHeight="1">
      <c r="D182" s="601"/>
      <c r="H182" s="98"/>
      <c r="P182" s="3"/>
    </row>
    <row r="183" spans="4:16" s="2" customFormat="1" ht="15.75" customHeight="1">
      <c r="D183" s="601"/>
      <c r="H183" s="98"/>
      <c r="P183" s="3"/>
    </row>
    <row r="184" spans="4:16" s="2" customFormat="1" ht="15.75" customHeight="1">
      <c r="D184" s="601"/>
      <c r="H184" s="98"/>
      <c r="P184" s="3"/>
    </row>
    <row r="185" spans="4:16" s="2" customFormat="1" ht="15.75" customHeight="1">
      <c r="D185" s="601"/>
      <c r="H185" s="98"/>
      <c r="P185" s="3"/>
    </row>
    <row r="186" spans="4:16" s="2" customFormat="1" ht="15.75" customHeight="1">
      <c r="D186" s="601"/>
      <c r="H186" s="98"/>
      <c r="P186" s="3"/>
    </row>
    <row r="187" spans="4:16" s="2" customFormat="1" ht="15.75" customHeight="1">
      <c r="D187" s="601"/>
      <c r="H187" s="98"/>
      <c r="P187" s="3"/>
    </row>
    <row r="188" spans="4:16" s="2" customFormat="1" ht="15.75" customHeight="1">
      <c r="D188" s="601"/>
      <c r="H188" s="98"/>
      <c r="P188" s="3"/>
    </row>
    <row r="189" spans="4:16" s="2" customFormat="1" ht="15.75" customHeight="1">
      <c r="D189" s="601"/>
      <c r="H189" s="98"/>
      <c r="P189" s="3"/>
    </row>
    <row r="190" spans="4:16" s="2" customFormat="1" ht="15.75" customHeight="1">
      <c r="D190" s="601"/>
      <c r="H190" s="98"/>
      <c r="P190" s="3"/>
    </row>
    <row r="191" spans="4:16" s="2" customFormat="1" ht="15.75" customHeight="1">
      <c r="D191" s="601"/>
      <c r="H191" s="98"/>
      <c r="P191" s="3"/>
    </row>
    <row r="192" spans="4:16" s="2" customFormat="1" ht="15.75" customHeight="1">
      <c r="D192" s="601"/>
      <c r="H192" s="98"/>
      <c r="P192" s="3"/>
    </row>
    <row r="193" spans="4:16" s="2" customFormat="1" ht="15.75" customHeight="1">
      <c r="D193" s="601"/>
      <c r="H193" s="98"/>
      <c r="P193" s="3"/>
    </row>
    <row r="194" spans="4:16" s="2" customFormat="1" ht="15.75" customHeight="1">
      <c r="D194" s="601"/>
      <c r="H194" s="98"/>
      <c r="P194" s="3"/>
    </row>
    <row r="195" spans="4:16" s="2" customFormat="1" ht="15.75" customHeight="1">
      <c r="D195" s="601"/>
      <c r="H195" s="98"/>
      <c r="P195" s="3"/>
    </row>
    <row r="196" spans="4:16" s="2" customFormat="1" ht="15.75" customHeight="1">
      <c r="D196" s="601"/>
      <c r="H196" s="98"/>
      <c r="P196" s="3"/>
    </row>
    <row r="197" spans="4:16" s="2" customFormat="1" ht="15.75" customHeight="1">
      <c r="D197" s="601"/>
      <c r="H197" s="98"/>
      <c r="P197" s="3"/>
    </row>
    <row r="198" spans="4:16" s="2" customFormat="1" ht="15.75" customHeight="1">
      <c r="D198" s="601"/>
      <c r="H198" s="98"/>
      <c r="P198" s="3"/>
    </row>
    <row r="199" spans="4:16" s="2" customFormat="1" ht="15.75" customHeight="1">
      <c r="D199" s="601"/>
      <c r="H199" s="98"/>
      <c r="P199" s="3"/>
    </row>
    <row r="200" spans="4:16" s="2" customFormat="1" ht="15.75" customHeight="1">
      <c r="D200" s="601"/>
      <c r="H200" s="98"/>
      <c r="P200" s="3"/>
    </row>
    <row r="201" spans="4:16" s="2" customFormat="1" ht="15.75" customHeight="1">
      <c r="D201" s="601"/>
      <c r="H201" s="98"/>
      <c r="P201" s="3"/>
    </row>
    <row r="202" spans="4:16" s="2" customFormat="1" ht="15.75" customHeight="1">
      <c r="D202" s="601"/>
      <c r="H202" s="98"/>
      <c r="P202" s="3"/>
    </row>
    <row r="203" spans="4:16" s="2" customFormat="1" ht="15.75" customHeight="1">
      <c r="D203" s="601"/>
      <c r="H203" s="98"/>
      <c r="P203" s="3"/>
    </row>
    <row r="204" spans="4:16" s="2" customFormat="1" ht="15.75" customHeight="1">
      <c r="D204" s="601"/>
      <c r="H204" s="98"/>
      <c r="P204" s="3"/>
    </row>
    <row r="205" spans="4:16" s="2" customFormat="1" ht="15.75" customHeight="1">
      <c r="D205" s="601"/>
      <c r="H205" s="98"/>
      <c r="P205" s="3"/>
    </row>
    <row r="206" spans="4:16" s="2" customFormat="1" ht="15.75" customHeight="1">
      <c r="D206" s="601"/>
      <c r="H206" s="98"/>
      <c r="P206" s="3"/>
    </row>
    <row r="207" spans="4:16" s="2" customFormat="1" ht="15.75" customHeight="1">
      <c r="D207" s="601"/>
      <c r="H207" s="98"/>
      <c r="P207" s="3"/>
    </row>
    <row r="208" spans="4:16" s="2" customFormat="1" ht="15.75" customHeight="1">
      <c r="D208" s="601"/>
      <c r="H208" s="98"/>
      <c r="P208" s="3"/>
    </row>
    <row r="209" spans="4:16" s="2" customFormat="1" ht="15.75" customHeight="1">
      <c r="D209" s="601"/>
      <c r="H209" s="98"/>
      <c r="P209" s="3"/>
    </row>
    <row r="210" spans="4:16" s="2" customFormat="1" ht="15.75" customHeight="1">
      <c r="D210" s="601"/>
      <c r="H210" s="98"/>
      <c r="P210" s="3"/>
    </row>
    <row r="211" spans="4:16" s="2" customFormat="1" ht="15.75" customHeight="1">
      <c r="D211" s="601"/>
      <c r="H211" s="98"/>
      <c r="P211" s="3"/>
    </row>
    <row r="212" spans="4:16" s="2" customFormat="1" ht="15.75" customHeight="1">
      <c r="D212" s="601"/>
      <c r="H212" s="98"/>
      <c r="P212" s="3"/>
    </row>
    <row r="213" spans="4:16" s="2" customFormat="1" ht="15.75" customHeight="1">
      <c r="D213" s="601"/>
      <c r="H213" s="98"/>
      <c r="P213" s="3"/>
    </row>
    <row r="214" spans="4:16" s="2" customFormat="1" ht="15.75" customHeight="1">
      <c r="D214" s="601"/>
      <c r="H214" s="98"/>
      <c r="P214" s="3"/>
    </row>
    <row r="215" spans="4:16" s="2" customFormat="1" ht="15.75" customHeight="1">
      <c r="D215" s="601"/>
      <c r="H215" s="98"/>
      <c r="P215" s="3"/>
    </row>
    <row r="216" spans="4:16" s="2" customFormat="1" ht="15.75" customHeight="1">
      <c r="D216" s="601"/>
      <c r="H216" s="98"/>
      <c r="P216" s="3"/>
    </row>
    <row r="217" spans="4:16" s="2" customFormat="1" ht="15.75" customHeight="1">
      <c r="D217" s="601"/>
      <c r="H217" s="98"/>
      <c r="P217" s="3"/>
    </row>
    <row r="218" spans="4:16" s="2" customFormat="1" ht="15.75" customHeight="1">
      <c r="D218" s="601"/>
      <c r="H218" s="98"/>
      <c r="P218" s="3"/>
    </row>
    <row r="219" spans="4:16" s="2" customFormat="1" ht="15.75" customHeight="1">
      <c r="D219" s="601"/>
      <c r="H219" s="98"/>
      <c r="P219" s="3"/>
    </row>
    <row r="220" spans="4:16" s="2" customFormat="1" ht="15.75" customHeight="1">
      <c r="D220" s="601"/>
      <c r="H220" s="98"/>
      <c r="P220" s="3"/>
    </row>
    <row r="221" spans="4:16" s="2" customFormat="1" ht="15.75" customHeight="1">
      <c r="D221" s="601"/>
      <c r="H221" s="98"/>
      <c r="P221" s="3"/>
    </row>
    <row r="222" spans="4:16" s="2" customFormat="1" ht="15.75" customHeight="1">
      <c r="D222" s="601"/>
      <c r="H222" s="98"/>
      <c r="P222" s="3"/>
    </row>
    <row r="223" spans="4:16" s="2" customFormat="1" ht="15.75" customHeight="1">
      <c r="D223" s="601"/>
      <c r="H223" s="98"/>
      <c r="P223" s="3"/>
    </row>
    <row r="224" spans="4:16" s="2" customFormat="1" ht="15.75" customHeight="1">
      <c r="D224" s="601"/>
      <c r="H224" s="98"/>
      <c r="P224" s="3"/>
    </row>
    <row r="225" spans="4:16" s="2" customFormat="1" ht="15.75" customHeight="1">
      <c r="D225" s="601"/>
      <c r="H225" s="98"/>
      <c r="P225" s="3"/>
    </row>
    <row r="226" spans="4:16" s="2" customFormat="1" ht="15.75" customHeight="1">
      <c r="D226" s="601"/>
      <c r="H226" s="98"/>
      <c r="P226" s="3"/>
    </row>
    <row r="227" spans="4:16" s="2" customFormat="1" ht="15.75" customHeight="1">
      <c r="D227" s="601"/>
      <c r="H227" s="98"/>
      <c r="P227" s="3"/>
    </row>
    <row r="228" spans="4:16" s="2" customFormat="1" ht="15.75" customHeight="1">
      <c r="D228" s="601"/>
      <c r="H228" s="98"/>
      <c r="P228" s="3"/>
    </row>
    <row r="229" spans="4:16" s="2" customFormat="1" ht="15.75" customHeight="1">
      <c r="D229" s="601"/>
      <c r="H229" s="98"/>
      <c r="P229" s="3"/>
    </row>
    <row r="230" spans="4:16" s="2" customFormat="1" ht="15.75" customHeight="1">
      <c r="D230" s="601"/>
      <c r="H230" s="98"/>
      <c r="P230" s="3"/>
    </row>
    <row r="231" spans="4:16" s="2" customFormat="1" ht="15.75" customHeight="1">
      <c r="D231" s="601"/>
      <c r="H231" s="98"/>
      <c r="P231" s="3"/>
    </row>
    <row r="232" spans="4:16" s="2" customFormat="1" ht="15.75" customHeight="1">
      <c r="D232" s="601"/>
      <c r="H232" s="98"/>
      <c r="P232" s="3"/>
    </row>
    <row r="233" spans="4:16" s="2" customFormat="1" ht="15.75" customHeight="1">
      <c r="D233" s="601"/>
      <c r="H233" s="98"/>
      <c r="P233" s="3"/>
    </row>
    <row r="234" spans="4:16" s="2" customFormat="1" ht="15.75" customHeight="1">
      <c r="D234" s="601"/>
      <c r="H234" s="98"/>
      <c r="P234" s="3"/>
    </row>
    <row r="235" spans="4:16" s="2" customFormat="1" ht="15.75" customHeight="1">
      <c r="D235" s="601"/>
      <c r="H235" s="98"/>
      <c r="P235" s="3"/>
    </row>
    <row r="236" spans="4:16" s="2" customFormat="1" ht="15.75" customHeight="1">
      <c r="D236" s="601"/>
      <c r="H236" s="98"/>
      <c r="P236" s="3"/>
    </row>
    <row r="237" spans="4:16" s="2" customFormat="1" ht="15.75" customHeight="1">
      <c r="D237" s="601"/>
      <c r="H237" s="98"/>
      <c r="P237" s="3"/>
    </row>
    <row r="238" spans="4:16" s="2" customFormat="1" ht="15.75" customHeight="1">
      <c r="D238" s="601"/>
      <c r="H238" s="98"/>
      <c r="P238" s="3"/>
    </row>
    <row r="239" spans="4:16" s="2" customFormat="1" ht="15.75" customHeight="1">
      <c r="D239" s="601"/>
      <c r="H239" s="98"/>
      <c r="P239" s="3"/>
    </row>
    <row r="240" spans="4:16" s="2" customFormat="1" ht="15.75" customHeight="1">
      <c r="D240" s="601"/>
      <c r="H240" s="98"/>
      <c r="P240" s="3"/>
    </row>
    <row r="241" spans="4:16" s="2" customFormat="1" ht="15.75" customHeight="1">
      <c r="D241" s="601"/>
      <c r="H241" s="98"/>
      <c r="P241" s="3"/>
    </row>
    <row r="242" spans="4:16" s="2" customFormat="1" ht="15.75" customHeight="1">
      <c r="D242" s="601"/>
      <c r="H242" s="98"/>
      <c r="P242" s="3"/>
    </row>
    <row r="243" spans="4:16" s="2" customFormat="1" ht="15.75" customHeight="1">
      <c r="D243" s="601"/>
      <c r="H243" s="98"/>
      <c r="P243" s="3"/>
    </row>
    <row r="244" spans="4:16" s="2" customFormat="1" ht="15.75" customHeight="1">
      <c r="D244" s="601"/>
      <c r="H244" s="98"/>
      <c r="P244" s="3"/>
    </row>
    <row r="245" spans="4:16" s="2" customFormat="1" ht="15.75" customHeight="1">
      <c r="D245" s="601"/>
      <c r="H245" s="98"/>
      <c r="P245" s="3"/>
    </row>
    <row r="246" spans="4:16" s="2" customFormat="1" ht="15.75" customHeight="1">
      <c r="D246" s="601"/>
      <c r="H246" s="98"/>
      <c r="P246" s="3"/>
    </row>
    <row r="247" spans="4:16" s="2" customFormat="1" ht="15.75" customHeight="1">
      <c r="D247" s="601"/>
      <c r="H247" s="98"/>
      <c r="P247" s="3"/>
    </row>
    <row r="248" spans="4:16" s="2" customFormat="1" ht="15.75" customHeight="1">
      <c r="D248" s="601"/>
      <c r="H248" s="98"/>
      <c r="P248" s="3"/>
    </row>
    <row r="249" spans="4:16" s="2" customFormat="1" ht="15.75" customHeight="1">
      <c r="D249" s="601"/>
      <c r="H249" s="98"/>
      <c r="P249" s="3"/>
    </row>
    <row r="250" spans="4:16" s="2" customFormat="1" ht="15.75" customHeight="1">
      <c r="D250" s="601"/>
      <c r="H250" s="98"/>
      <c r="P250" s="3"/>
    </row>
    <row r="251" spans="4:16" s="2" customFormat="1" ht="15.75" customHeight="1">
      <c r="D251" s="601"/>
      <c r="H251" s="98"/>
      <c r="P251" s="3"/>
    </row>
    <row r="252" spans="4:16" s="2" customFormat="1" ht="15.75" customHeight="1">
      <c r="D252" s="601"/>
      <c r="H252" s="98"/>
      <c r="P252" s="3"/>
    </row>
    <row r="253" spans="4:16" s="2" customFormat="1" ht="15.75" customHeight="1">
      <c r="D253" s="601"/>
      <c r="H253" s="98"/>
      <c r="P253" s="3"/>
    </row>
    <row r="254" spans="4:16" s="2" customFormat="1" ht="15.75" customHeight="1">
      <c r="D254" s="601"/>
      <c r="H254" s="98"/>
      <c r="P254" s="3"/>
    </row>
    <row r="255" spans="4:16" s="2" customFormat="1" ht="15.75" customHeight="1">
      <c r="D255" s="601"/>
      <c r="H255" s="98"/>
      <c r="P255" s="3"/>
    </row>
    <row r="256" spans="4:16" s="2" customFormat="1" ht="15.75" customHeight="1">
      <c r="D256" s="601"/>
      <c r="H256" s="98"/>
      <c r="P256" s="3"/>
    </row>
    <row r="257" spans="4:16" s="2" customFormat="1" ht="15.75" customHeight="1">
      <c r="D257" s="601"/>
      <c r="H257" s="98"/>
      <c r="P257" s="3"/>
    </row>
    <row r="258" spans="4:16" s="2" customFormat="1" ht="15.75" customHeight="1">
      <c r="D258" s="601"/>
      <c r="H258" s="98"/>
      <c r="P258" s="3"/>
    </row>
    <row r="259" spans="4:16" s="2" customFormat="1" ht="15.75" customHeight="1">
      <c r="D259" s="601"/>
      <c r="H259" s="98"/>
      <c r="P259" s="3"/>
    </row>
    <row r="260" spans="4:16" s="2" customFormat="1" ht="15.75" customHeight="1">
      <c r="D260" s="601"/>
      <c r="H260" s="98"/>
      <c r="P260" s="3"/>
    </row>
    <row r="261" spans="4:16" s="2" customFormat="1" ht="15.75" customHeight="1">
      <c r="D261" s="601"/>
      <c r="H261" s="98"/>
      <c r="P261" s="3"/>
    </row>
    <row r="262" spans="4:16" s="2" customFormat="1" ht="15.75" customHeight="1">
      <c r="D262" s="601"/>
      <c r="H262" s="98"/>
      <c r="P262" s="3"/>
    </row>
    <row r="263" spans="4:16" s="2" customFormat="1" ht="15.75" customHeight="1">
      <c r="D263" s="601"/>
      <c r="H263" s="98"/>
      <c r="P263" s="3"/>
    </row>
    <row r="264" spans="4:16" s="2" customFormat="1" ht="15.75" customHeight="1">
      <c r="D264" s="601"/>
      <c r="H264" s="98"/>
      <c r="P264" s="3"/>
    </row>
    <row r="265" spans="4:16" s="2" customFormat="1" ht="15.75" customHeight="1">
      <c r="D265" s="601"/>
      <c r="H265" s="98"/>
      <c r="P265" s="3"/>
    </row>
    <row r="266" spans="4:16" s="2" customFormat="1" ht="15.75" customHeight="1">
      <c r="D266" s="601"/>
      <c r="H266" s="98"/>
      <c r="P266" s="3"/>
    </row>
    <row r="267" spans="4:16" s="2" customFormat="1" ht="15.75" customHeight="1">
      <c r="D267" s="601"/>
      <c r="H267" s="98"/>
      <c r="P267" s="3"/>
    </row>
    <row r="268" spans="4:16" s="2" customFormat="1" ht="15.75" customHeight="1">
      <c r="D268" s="601"/>
      <c r="H268" s="98"/>
      <c r="P268" s="3"/>
    </row>
    <row r="269" spans="4:16" s="2" customFormat="1" ht="15.75" customHeight="1">
      <c r="D269" s="601"/>
      <c r="H269" s="98"/>
      <c r="P269" s="3"/>
    </row>
    <row r="270" spans="4:16" s="2" customFormat="1" ht="15.75" customHeight="1">
      <c r="D270" s="601"/>
      <c r="H270" s="98"/>
      <c r="P270" s="3"/>
    </row>
    <row r="271" spans="4:16" s="2" customFormat="1" ht="15.75" customHeight="1">
      <c r="D271" s="601"/>
      <c r="H271" s="98"/>
      <c r="P271" s="3"/>
    </row>
    <row r="272" spans="4:16" s="2" customFormat="1" ht="15.75" customHeight="1">
      <c r="D272" s="601"/>
      <c r="H272" s="98"/>
      <c r="P272" s="3"/>
    </row>
    <row r="273" spans="4:16" s="2" customFormat="1" ht="15.75" customHeight="1">
      <c r="D273" s="601"/>
      <c r="H273" s="98"/>
      <c r="P273" s="3"/>
    </row>
    <row r="274" spans="4:16" s="2" customFormat="1" ht="15.75" customHeight="1">
      <c r="D274" s="601"/>
      <c r="H274" s="98"/>
      <c r="P274" s="3"/>
    </row>
    <row r="275" spans="4:16" s="2" customFormat="1" ht="15.75" customHeight="1">
      <c r="D275" s="601"/>
      <c r="H275" s="98"/>
      <c r="P275" s="3"/>
    </row>
    <row r="276" spans="4:16" s="2" customFormat="1" ht="15.75" customHeight="1">
      <c r="D276" s="601"/>
      <c r="H276" s="98"/>
      <c r="P276" s="3"/>
    </row>
    <row r="277" spans="4:16" s="2" customFormat="1" ht="15.75" customHeight="1">
      <c r="D277" s="601"/>
      <c r="H277" s="98"/>
      <c r="P277" s="3"/>
    </row>
    <row r="278" spans="4:16" s="2" customFormat="1" ht="15.75" customHeight="1">
      <c r="D278" s="601"/>
      <c r="H278" s="98"/>
      <c r="P278" s="3"/>
    </row>
    <row r="279" spans="4:16" s="2" customFormat="1" ht="15.75" customHeight="1">
      <c r="D279" s="601"/>
      <c r="H279" s="98"/>
      <c r="P279" s="3"/>
    </row>
    <row r="280" spans="4:16" s="2" customFormat="1" ht="15.75" customHeight="1">
      <c r="D280" s="601"/>
      <c r="H280" s="98"/>
      <c r="P280" s="3"/>
    </row>
    <row r="281" spans="4:16" s="2" customFormat="1" ht="15.75" customHeight="1">
      <c r="D281" s="601"/>
      <c r="H281" s="98"/>
      <c r="P281" s="3"/>
    </row>
    <row r="282" spans="4:16" s="2" customFormat="1" ht="15.75" customHeight="1">
      <c r="D282" s="601"/>
      <c r="H282" s="98"/>
      <c r="P282" s="3"/>
    </row>
    <row r="283" spans="4:16" s="2" customFormat="1" ht="15.75" customHeight="1">
      <c r="D283" s="601"/>
      <c r="H283" s="98"/>
      <c r="P283" s="3"/>
    </row>
    <row r="284" spans="4:16" s="2" customFormat="1" ht="15.75" customHeight="1">
      <c r="D284" s="601"/>
      <c r="H284" s="98"/>
      <c r="P284" s="3"/>
    </row>
    <row r="285" spans="4:16" s="2" customFormat="1" ht="15.75" customHeight="1">
      <c r="D285" s="601"/>
      <c r="H285" s="98"/>
      <c r="P285" s="3"/>
    </row>
    <row r="286" spans="4:16" s="2" customFormat="1" ht="15.75" customHeight="1">
      <c r="D286" s="601"/>
      <c r="H286" s="98"/>
      <c r="P286" s="3"/>
    </row>
    <row r="287" spans="4:16" s="2" customFormat="1" ht="15.75" customHeight="1">
      <c r="D287" s="601"/>
      <c r="H287" s="98"/>
      <c r="P287" s="3"/>
    </row>
    <row r="288" spans="4:16" s="2" customFormat="1" ht="15.75" customHeight="1">
      <c r="D288" s="601"/>
      <c r="H288" s="98"/>
      <c r="P288" s="3"/>
    </row>
    <row r="289" spans="4:16" s="2" customFormat="1" ht="15.75" customHeight="1">
      <c r="D289" s="601"/>
      <c r="H289" s="98"/>
      <c r="P289" s="3"/>
    </row>
    <row r="290" spans="4:16" s="2" customFormat="1" ht="15.75" customHeight="1">
      <c r="D290" s="601"/>
      <c r="H290" s="98"/>
      <c r="P290" s="3"/>
    </row>
    <row r="291" spans="4:16" s="2" customFormat="1" ht="15.75" customHeight="1">
      <c r="D291" s="601"/>
      <c r="H291" s="98"/>
      <c r="P291" s="3"/>
    </row>
    <row r="292" spans="4:16" s="2" customFormat="1" ht="15.75" customHeight="1">
      <c r="D292" s="601"/>
      <c r="H292" s="98"/>
      <c r="P292" s="3"/>
    </row>
    <row r="293" spans="4:16" s="2" customFormat="1" ht="15.75" customHeight="1">
      <c r="D293" s="601"/>
      <c r="H293" s="98"/>
      <c r="P293" s="3"/>
    </row>
    <row r="294" spans="4:16" s="2" customFormat="1" ht="15.75" customHeight="1">
      <c r="D294" s="601"/>
      <c r="H294" s="98"/>
      <c r="P294" s="3"/>
    </row>
    <row r="295" spans="4:16" s="2" customFormat="1" ht="15.75" customHeight="1">
      <c r="D295" s="601"/>
      <c r="H295" s="98"/>
      <c r="P295" s="3"/>
    </row>
    <row r="296" spans="4:16" s="2" customFormat="1" ht="15.75" customHeight="1">
      <c r="D296" s="601"/>
      <c r="H296" s="98"/>
      <c r="P296" s="3"/>
    </row>
    <row r="297" spans="4:16" s="2" customFormat="1" ht="15.75" customHeight="1">
      <c r="D297" s="601"/>
      <c r="H297" s="98"/>
      <c r="P297" s="3"/>
    </row>
    <row r="298" spans="4:16" s="2" customFormat="1" ht="15.75" customHeight="1">
      <c r="D298" s="601"/>
      <c r="H298" s="98"/>
      <c r="P298" s="3"/>
    </row>
    <row r="299" spans="4:16" s="2" customFormat="1" ht="15.75" customHeight="1">
      <c r="D299" s="601"/>
      <c r="H299" s="98"/>
      <c r="P299" s="3"/>
    </row>
    <row r="300" spans="4:16" s="2" customFormat="1" ht="15.75" customHeight="1">
      <c r="D300" s="601"/>
      <c r="H300" s="98"/>
      <c r="P300" s="3"/>
    </row>
    <row r="301" spans="4:16" s="2" customFormat="1" ht="15.75" customHeight="1">
      <c r="D301" s="601"/>
      <c r="H301" s="98"/>
      <c r="P301" s="3"/>
    </row>
    <row r="302" spans="4:16" s="2" customFormat="1" ht="15.75" customHeight="1">
      <c r="D302" s="601"/>
      <c r="H302" s="98"/>
      <c r="P302" s="3"/>
    </row>
    <row r="303" spans="4:16" s="2" customFormat="1" ht="15.75" customHeight="1">
      <c r="D303" s="601"/>
      <c r="H303" s="98"/>
      <c r="P303" s="3"/>
    </row>
    <row r="304" spans="4:16" s="2" customFormat="1" ht="15.75" customHeight="1">
      <c r="D304" s="601"/>
      <c r="H304" s="98"/>
      <c r="P304" s="3"/>
    </row>
    <row r="305" spans="4:16" s="2" customFormat="1" ht="15.75" customHeight="1">
      <c r="D305" s="601"/>
      <c r="H305" s="98"/>
      <c r="P305" s="3"/>
    </row>
    <row r="306" spans="4:16" s="2" customFormat="1" ht="15.75" customHeight="1">
      <c r="D306" s="601"/>
      <c r="H306" s="98"/>
      <c r="P306" s="3"/>
    </row>
    <row r="307" spans="4:16" s="2" customFormat="1" ht="15.75" customHeight="1">
      <c r="D307" s="601"/>
      <c r="H307" s="98"/>
      <c r="P307" s="3"/>
    </row>
    <row r="308" spans="4:16" s="2" customFormat="1" ht="15.75" customHeight="1">
      <c r="D308" s="601"/>
      <c r="H308" s="98"/>
      <c r="P308" s="3"/>
    </row>
    <row r="309" spans="4:16" s="2" customFormat="1" ht="15.75" customHeight="1">
      <c r="D309" s="601"/>
      <c r="H309" s="98"/>
      <c r="P309" s="3"/>
    </row>
    <row r="310" spans="4:16" s="2" customFormat="1" ht="15.75" customHeight="1">
      <c r="D310" s="601"/>
      <c r="H310" s="98"/>
      <c r="P310" s="3"/>
    </row>
    <row r="311" spans="4:16" s="2" customFormat="1" ht="15.75" customHeight="1">
      <c r="D311" s="601"/>
      <c r="H311" s="98"/>
      <c r="P311" s="3"/>
    </row>
    <row r="312" spans="4:16" s="2" customFormat="1" ht="15.75" customHeight="1">
      <c r="D312" s="601"/>
      <c r="H312" s="98"/>
      <c r="P312" s="3"/>
    </row>
    <row r="313" spans="4:16" s="2" customFormat="1" ht="15.75" customHeight="1">
      <c r="D313" s="601"/>
      <c r="H313" s="98"/>
      <c r="P313" s="3"/>
    </row>
    <row r="314" spans="4:16" s="2" customFormat="1" ht="15.75" customHeight="1">
      <c r="D314" s="601"/>
      <c r="H314" s="98"/>
      <c r="P314" s="3"/>
    </row>
    <row r="315" spans="4:16" s="2" customFormat="1" ht="15.75" customHeight="1">
      <c r="D315" s="601"/>
      <c r="H315" s="98"/>
      <c r="P315" s="3"/>
    </row>
    <row r="316" spans="4:16" s="2" customFormat="1" ht="15.75" customHeight="1">
      <c r="D316" s="601"/>
      <c r="H316" s="98"/>
      <c r="P316" s="3"/>
    </row>
    <row r="317" spans="4:16" s="2" customFormat="1" ht="15.75" customHeight="1">
      <c r="D317" s="601"/>
      <c r="H317" s="98"/>
      <c r="P317" s="3"/>
    </row>
    <row r="318" spans="4:16" s="2" customFormat="1" ht="15.75" customHeight="1">
      <c r="D318" s="601"/>
      <c r="H318" s="98"/>
      <c r="P318" s="3"/>
    </row>
    <row r="319" spans="4:16" s="2" customFormat="1" ht="15.75" customHeight="1">
      <c r="D319" s="601"/>
      <c r="H319" s="98"/>
      <c r="P319" s="3"/>
    </row>
    <row r="320" spans="4:16" s="2" customFormat="1" ht="15.75" customHeight="1">
      <c r="D320" s="601"/>
      <c r="H320" s="98"/>
      <c r="P320" s="3"/>
    </row>
    <row r="321" spans="4:16" s="2" customFormat="1" ht="15.75" customHeight="1">
      <c r="D321" s="601"/>
      <c r="H321" s="98"/>
      <c r="P321" s="3"/>
    </row>
    <row r="322" spans="4:16" s="2" customFormat="1" ht="15.75" customHeight="1">
      <c r="D322" s="601"/>
      <c r="H322" s="98"/>
      <c r="P322" s="3"/>
    </row>
    <row r="323" spans="4:16" s="2" customFormat="1" ht="15.75" customHeight="1">
      <c r="D323" s="601"/>
      <c r="H323" s="98"/>
      <c r="P323" s="3"/>
    </row>
    <row r="324" spans="4:16" s="2" customFormat="1" ht="15.75" customHeight="1">
      <c r="D324" s="601"/>
      <c r="H324" s="98"/>
      <c r="P324" s="3"/>
    </row>
    <row r="325" spans="4:16" s="2" customFormat="1" ht="15.75" customHeight="1">
      <c r="D325" s="601"/>
      <c r="H325" s="98"/>
      <c r="P325" s="3"/>
    </row>
    <row r="326" spans="4:16" s="2" customFormat="1" ht="15.75" customHeight="1">
      <c r="D326" s="601"/>
      <c r="H326" s="98"/>
      <c r="P326" s="3"/>
    </row>
    <row r="327" spans="4:16" s="2" customFormat="1" ht="15.75" customHeight="1">
      <c r="D327" s="601"/>
      <c r="H327" s="98"/>
      <c r="P327" s="3"/>
    </row>
    <row r="328" spans="4:16" s="2" customFormat="1" ht="15.75" customHeight="1">
      <c r="D328" s="601"/>
      <c r="H328" s="98"/>
      <c r="P328" s="3"/>
    </row>
    <row r="329" spans="4:16" s="2" customFormat="1" ht="15.75" customHeight="1">
      <c r="D329" s="601"/>
      <c r="H329" s="98"/>
      <c r="P329" s="3"/>
    </row>
    <row r="330" spans="4:16" s="2" customFormat="1" ht="15.75" customHeight="1">
      <c r="D330" s="601"/>
      <c r="H330" s="98"/>
      <c r="P330" s="3"/>
    </row>
    <row r="331" spans="4:16" s="2" customFormat="1" ht="15.75" customHeight="1">
      <c r="D331" s="601"/>
      <c r="H331" s="98"/>
      <c r="P331" s="3"/>
    </row>
    <row r="332" spans="4:16" s="2" customFormat="1" ht="15.75" customHeight="1">
      <c r="D332" s="601"/>
      <c r="H332" s="98"/>
      <c r="P332" s="3"/>
    </row>
    <row r="333" spans="4:16" s="2" customFormat="1" ht="15.75" customHeight="1">
      <c r="D333" s="601"/>
      <c r="H333" s="98"/>
      <c r="P333" s="3"/>
    </row>
    <row r="334" spans="4:16" s="2" customFormat="1" ht="15.75" customHeight="1">
      <c r="D334" s="601"/>
      <c r="H334" s="98"/>
      <c r="P334" s="3"/>
    </row>
    <row r="335" spans="4:16" s="2" customFormat="1" ht="15.75" customHeight="1">
      <c r="D335" s="601"/>
      <c r="H335" s="98"/>
      <c r="P335" s="3"/>
    </row>
    <row r="336" spans="4:16" s="2" customFormat="1" ht="15.75" customHeight="1">
      <c r="D336" s="601"/>
      <c r="H336" s="98"/>
      <c r="P336" s="3"/>
    </row>
    <row r="337" spans="1:17" s="2" customFormat="1" ht="15.75" customHeight="1">
      <c r="D337" s="601"/>
      <c r="H337" s="98"/>
      <c r="P337" s="3"/>
    </row>
    <row r="338" spans="1:17" s="2" customFormat="1" ht="15.75" customHeight="1">
      <c r="A338" s="1"/>
      <c r="D338" s="601"/>
      <c r="H338" s="98"/>
      <c r="P338" s="3"/>
    </row>
    <row r="339" spans="1:17" s="2" customFormat="1" ht="15.75" customHeight="1">
      <c r="A339" s="1"/>
      <c r="B339" s="1"/>
      <c r="C339" s="1"/>
      <c r="D339" s="733"/>
      <c r="E339" s="1"/>
      <c r="F339" s="1"/>
      <c r="G339" s="1"/>
      <c r="H339" s="99"/>
      <c r="I339" s="1"/>
      <c r="J339" s="1"/>
      <c r="K339" s="1"/>
      <c r="L339" s="1"/>
      <c r="M339" s="1"/>
      <c r="N339" s="1"/>
      <c r="O339" s="1"/>
      <c r="P339" s="26"/>
      <c r="Q339" s="1"/>
    </row>
    <row r="340" spans="1:17" s="2" customFormat="1" ht="15.75" customHeight="1">
      <c r="A340" s="1"/>
      <c r="B340" s="1"/>
      <c r="C340" s="1"/>
      <c r="D340" s="733"/>
      <c r="E340" s="1"/>
      <c r="F340" s="1"/>
      <c r="G340" s="1"/>
      <c r="H340" s="99"/>
      <c r="I340" s="1"/>
      <c r="J340" s="1"/>
      <c r="K340" s="1"/>
      <c r="L340" s="1"/>
      <c r="M340" s="1"/>
      <c r="N340" s="1"/>
      <c r="O340" s="1"/>
      <c r="P340" s="26"/>
      <c r="Q340" s="1"/>
    </row>
    <row r="341" spans="1:17" s="2" customFormat="1" ht="15.75" customHeight="1">
      <c r="A341" s="1"/>
      <c r="B341" s="1"/>
      <c r="C341" s="1"/>
      <c r="D341" s="733"/>
      <c r="E341" s="1"/>
      <c r="F341" s="1"/>
      <c r="G341" s="1"/>
      <c r="H341" s="99"/>
      <c r="I341" s="1"/>
      <c r="J341" s="1"/>
      <c r="K341" s="1"/>
      <c r="L341" s="1"/>
      <c r="M341" s="1"/>
      <c r="N341" s="1"/>
      <c r="O341" s="1"/>
      <c r="P341" s="26"/>
      <c r="Q341" s="1"/>
    </row>
    <row r="342" spans="1:17" s="2" customFormat="1" ht="15.75" customHeight="1">
      <c r="A342" s="1"/>
      <c r="B342" s="1"/>
      <c r="C342" s="1"/>
      <c r="D342" s="733"/>
      <c r="E342" s="1"/>
      <c r="F342" s="1"/>
      <c r="G342" s="1"/>
      <c r="H342" s="99"/>
      <c r="I342" s="1"/>
      <c r="J342" s="1"/>
      <c r="K342" s="1"/>
      <c r="L342" s="1"/>
      <c r="M342" s="1"/>
      <c r="N342" s="1"/>
      <c r="O342" s="1"/>
      <c r="P342" s="26"/>
      <c r="Q342" s="1"/>
    </row>
    <row r="343" spans="1:17" s="2" customFormat="1" ht="15.75" customHeight="1">
      <c r="A343" s="1"/>
      <c r="B343" s="1"/>
      <c r="C343" s="1"/>
      <c r="D343" s="733"/>
      <c r="E343" s="1"/>
      <c r="F343" s="1"/>
      <c r="G343" s="1"/>
      <c r="H343" s="99"/>
      <c r="I343" s="1"/>
      <c r="J343" s="1"/>
      <c r="K343" s="1"/>
      <c r="L343" s="1"/>
      <c r="M343" s="1"/>
      <c r="N343" s="1"/>
      <c r="O343" s="1"/>
      <c r="P343" s="26"/>
      <c r="Q343" s="1"/>
    </row>
    <row r="344" spans="1:17" s="2" customFormat="1" ht="15.75" customHeight="1">
      <c r="A344" s="1"/>
      <c r="B344" s="1"/>
      <c r="C344" s="1"/>
      <c r="D344" s="733"/>
      <c r="E344" s="1"/>
      <c r="F344" s="1"/>
      <c r="G344" s="1"/>
      <c r="H344" s="99"/>
      <c r="I344" s="1"/>
      <c r="J344" s="1"/>
      <c r="K344" s="1"/>
      <c r="L344" s="1"/>
      <c r="M344" s="1"/>
      <c r="N344" s="1"/>
      <c r="O344" s="1"/>
      <c r="P344" s="26"/>
      <c r="Q344" s="1"/>
    </row>
    <row r="345" spans="1:17" s="2" customFormat="1" ht="15.75" customHeight="1">
      <c r="A345" s="1"/>
      <c r="B345" s="1"/>
      <c r="C345" s="1"/>
      <c r="D345" s="733"/>
      <c r="E345" s="1"/>
      <c r="F345" s="1"/>
      <c r="G345" s="1"/>
      <c r="H345" s="99"/>
      <c r="I345" s="1"/>
      <c r="J345" s="1"/>
      <c r="K345" s="1"/>
      <c r="L345" s="1"/>
      <c r="M345" s="1"/>
      <c r="N345" s="1"/>
      <c r="O345" s="1"/>
      <c r="P345" s="26"/>
      <c r="Q345" s="1"/>
    </row>
    <row r="346" spans="1:17" s="2" customFormat="1" ht="15.75" customHeight="1">
      <c r="A346" s="1"/>
      <c r="B346" s="1"/>
      <c r="C346" s="1"/>
      <c r="D346" s="733"/>
      <c r="E346" s="1"/>
      <c r="F346" s="1"/>
      <c r="G346" s="1"/>
      <c r="H346" s="99"/>
      <c r="I346" s="1"/>
      <c r="J346" s="1"/>
      <c r="K346" s="1"/>
      <c r="L346" s="1"/>
      <c r="M346" s="1"/>
      <c r="N346" s="1"/>
      <c r="O346" s="1"/>
      <c r="P346" s="26"/>
      <c r="Q346" s="1"/>
    </row>
    <row r="347" spans="1:17" s="2" customFormat="1" ht="15.75" customHeight="1">
      <c r="A347" s="1"/>
      <c r="B347" s="1"/>
      <c r="C347" s="1"/>
      <c r="D347" s="733"/>
      <c r="E347" s="1"/>
      <c r="F347" s="1"/>
      <c r="G347" s="1"/>
      <c r="H347" s="99"/>
      <c r="I347" s="1"/>
      <c r="J347" s="1"/>
      <c r="K347" s="1"/>
      <c r="L347" s="1"/>
      <c r="M347" s="1"/>
      <c r="N347" s="1"/>
      <c r="O347" s="1"/>
      <c r="P347" s="26"/>
      <c r="Q347" s="1"/>
    </row>
    <row r="348" spans="1:17" s="2" customFormat="1" ht="15.75" customHeight="1">
      <c r="A348" s="1"/>
      <c r="B348" s="1"/>
      <c r="C348" s="1"/>
      <c r="D348" s="733"/>
      <c r="E348" s="1"/>
      <c r="F348" s="1"/>
      <c r="G348" s="1"/>
      <c r="H348" s="99"/>
      <c r="I348" s="1"/>
      <c r="J348" s="1"/>
      <c r="K348" s="1"/>
      <c r="L348" s="1"/>
      <c r="M348" s="1"/>
      <c r="N348" s="1"/>
      <c r="O348" s="1"/>
      <c r="P348" s="26"/>
      <c r="Q348" s="1"/>
    </row>
    <row r="349" spans="1:17" s="2" customFormat="1" ht="15.75" customHeight="1">
      <c r="A349" s="1"/>
      <c r="B349" s="1"/>
      <c r="C349" s="1"/>
      <c r="D349" s="733"/>
      <c r="E349" s="1"/>
      <c r="F349" s="1"/>
      <c r="G349" s="1"/>
      <c r="H349" s="99"/>
      <c r="I349" s="1"/>
      <c r="J349" s="1"/>
      <c r="K349" s="1"/>
      <c r="L349" s="1"/>
      <c r="M349" s="1"/>
      <c r="N349" s="1"/>
      <c r="O349" s="1"/>
      <c r="P349" s="26"/>
      <c r="Q349" s="1"/>
    </row>
    <row r="350" spans="1:17" s="2" customFormat="1" ht="15.75" customHeight="1">
      <c r="A350" s="1"/>
      <c r="B350" s="1"/>
      <c r="C350" s="1"/>
      <c r="D350" s="733"/>
      <c r="E350" s="1"/>
      <c r="F350" s="1"/>
      <c r="G350" s="1"/>
      <c r="H350" s="99"/>
      <c r="I350" s="1"/>
      <c r="J350" s="1"/>
      <c r="K350" s="1"/>
      <c r="L350" s="1"/>
      <c r="M350" s="1"/>
      <c r="N350" s="1"/>
      <c r="O350" s="1"/>
      <c r="P350" s="26"/>
      <c r="Q350" s="1"/>
    </row>
    <row r="351" spans="1:17" s="2" customFormat="1" ht="15.75" customHeight="1">
      <c r="A351" s="1"/>
      <c r="B351" s="1"/>
      <c r="C351" s="1"/>
      <c r="D351" s="733"/>
      <c r="E351" s="1"/>
      <c r="F351" s="1"/>
      <c r="G351" s="1"/>
      <c r="H351" s="99"/>
      <c r="I351" s="1"/>
      <c r="J351" s="1"/>
      <c r="K351" s="1"/>
      <c r="L351" s="1"/>
      <c r="M351" s="1"/>
      <c r="N351" s="1"/>
      <c r="O351" s="1"/>
      <c r="P351" s="26"/>
      <c r="Q351" s="1"/>
    </row>
    <row r="352" spans="1:17" s="2" customFormat="1" ht="15.75" customHeight="1">
      <c r="A352" s="1"/>
      <c r="B352" s="1"/>
      <c r="C352" s="1"/>
      <c r="D352" s="733"/>
      <c r="E352" s="1"/>
      <c r="F352" s="1"/>
      <c r="G352" s="1"/>
      <c r="H352" s="99"/>
      <c r="I352" s="1"/>
      <c r="J352" s="1"/>
      <c r="K352" s="1"/>
      <c r="L352" s="1"/>
      <c r="M352" s="1"/>
      <c r="N352" s="1"/>
      <c r="O352" s="1"/>
      <c r="P352" s="26"/>
      <c r="Q352" s="1"/>
    </row>
    <row r="353" spans="1:17" s="2" customFormat="1" ht="15.75" customHeight="1">
      <c r="A353" s="1"/>
      <c r="B353" s="1"/>
      <c r="C353" s="1"/>
      <c r="D353" s="733"/>
      <c r="E353" s="1"/>
      <c r="F353" s="1"/>
      <c r="G353" s="1"/>
      <c r="H353" s="99"/>
      <c r="I353" s="1"/>
      <c r="J353" s="1"/>
      <c r="K353" s="1"/>
      <c r="L353" s="1"/>
      <c r="M353" s="1"/>
      <c r="N353" s="1"/>
      <c r="O353" s="1"/>
      <c r="P353" s="26"/>
      <c r="Q353" s="1"/>
    </row>
    <row r="354" spans="1:17" s="2" customFormat="1" ht="15.75" customHeight="1">
      <c r="A354" s="1"/>
      <c r="B354" s="1"/>
      <c r="C354" s="1"/>
      <c r="D354" s="733"/>
      <c r="E354" s="1"/>
      <c r="F354" s="1"/>
      <c r="G354" s="1"/>
      <c r="H354" s="99"/>
      <c r="I354" s="1"/>
      <c r="J354" s="1"/>
      <c r="K354" s="1"/>
      <c r="L354" s="1"/>
      <c r="M354" s="1"/>
      <c r="N354" s="1"/>
      <c r="O354" s="1"/>
      <c r="P354" s="26"/>
      <c r="Q354" s="1"/>
    </row>
    <row r="355" spans="1:17" s="2" customFormat="1" ht="15.75" customHeight="1">
      <c r="A355" s="1"/>
      <c r="B355" s="1"/>
      <c r="C355" s="1"/>
      <c r="D355" s="733"/>
      <c r="E355" s="1"/>
      <c r="F355" s="1"/>
      <c r="G355" s="1"/>
      <c r="H355" s="99"/>
      <c r="I355" s="1"/>
      <c r="J355" s="1"/>
      <c r="K355" s="1"/>
      <c r="L355" s="1"/>
      <c r="M355" s="1"/>
      <c r="N355" s="1"/>
      <c r="O355" s="1"/>
      <c r="P355" s="26"/>
      <c r="Q355" s="1"/>
    </row>
    <row r="356" spans="1:17" s="2" customFormat="1" ht="15.75" customHeight="1">
      <c r="A356" s="1"/>
      <c r="B356" s="1"/>
      <c r="C356" s="1"/>
      <c r="D356" s="733"/>
      <c r="E356" s="1"/>
      <c r="F356" s="1"/>
      <c r="G356" s="1"/>
      <c r="H356" s="99"/>
      <c r="I356" s="1"/>
      <c r="J356" s="1"/>
      <c r="K356" s="1"/>
      <c r="L356" s="1"/>
      <c r="M356" s="1"/>
      <c r="N356" s="1"/>
      <c r="O356" s="1"/>
      <c r="P356" s="26"/>
      <c r="Q356" s="1"/>
    </row>
    <row r="357" spans="1:17" s="2" customFormat="1" ht="15.75" customHeight="1">
      <c r="A357" s="1"/>
      <c r="B357" s="1"/>
      <c r="C357" s="1"/>
      <c r="D357" s="733"/>
      <c r="E357" s="1"/>
      <c r="F357" s="1"/>
      <c r="G357" s="1"/>
      <c r="H357" s="99"/>
      <c r="I357" s="1"/>
      <c r="J357" s="1"/>
      <c r="K357" s="1"/>
      <c r="L357" s="1"/>
      <c r="M357" s="1"/>
      <c r="N357" s="1"/>
      <c r="O357" s="1"/>
      <c r="P357" s="26"/>
      <c r="Q357" s="1"/>
    </row>
    <row r="358" spans="1:17" s="2" customFormat="1" ht="15.75" customHeight="1">
      <c r="A358" s="1"/>
      <c r="B358" s="1"/>
      <c r="C358" s="1"/>
      <c r="D358" s="733"/>
      <c r="E358" s="1"/>
      <c r="F358" s="1"/>
      <c r="G358" s="1"/>
      <c r="H358" s="99"/>
      <c r="I358" s="1"/>
      <c r="J358" s="1"/>
      <c r="K358" s="1"/>
      <c r="L358" s="1"/>
      <c r="M358" s="1"/>
      <c r="N358" s="1"/>
      <c r="O358" s="1"/>
      <c r="P358" s="26"/>
      <c r="Q358" s="1"/>
    </row>
    <row r="359" spans="1:17" s="2" customFormat="1" ht="15.75" customHeight="1">
      <c r="A359" s="1"/>
      <c r="B359" s="1"/>
      <c r="C359" s="1"/>
      <c r="D359" s="733"/>
      <c r="E359" s="1"/>
      <c r="F359" s="1"/>
      <c r="G359" s="1"/>
      <c r="H359" s="99"/>
      <c r="I359" s="1"/>
      <c r="J359" s="1"/>
      <c r="K359" s="1"/>
      <c r="L359" s="1"/>
      <c r="M359" s="1"/>
      <c r="N359" s="1"/>
      <c r="O359" s="1"/>
      <c r="P359" s="26"/>
      <c r="Q359" s="1"/>
    </row>
    <row r="360" spans="1:17" s="2" customFormat="1" ht="15.75" customHeight="1">
      <c r="A360" s="1"/>
      <c r="B360" s="1"/>
      <c r="C360" s="1"/>
      <c r="D360" s="733"/>
      <c r="E360" s="1"/>
      <c r="F360" s="1"/>
      <c r="G360" s="1"/>
      <c r="H360" s="99"/>
      <c r="I360" s="1"/>
      <c r="J360" s="1"/>
      <c r="K360" s="1"/>
      <c r="L360" s="1"/>
      <c r="M360" s="1"/>
      <c r="N360" s="1"/>
      <c r="O360" s="1"/>
      <c r="P360" s="26"/>
      <c r="Q360" s="1"/>
    </row>
    <row r="361" spans="1:17" s="2" customFormat="1" ht="15.75" customHeight="1">
      <c r="A361" s="1"/>
      <c r="B361" s="1"/>
      <c r="C361" s="1"/>
      <c r="D361" s="733"/>
      <c r="E361" s="1"/>
      <c r="F361" s="1"/>
      <c r="G361" s="1"/>
      <c r="H361" s="99"/>
      <c r="I361" s="1"/>
      <c r="J361" s="1"/>
      <c r="K361" s="1"/>
      <c r="L361" s="1"/>
      <c r="M361" s="1"/>
      <c r="N361" s="1"/>
      <c r="O361" s="1"/>
      <c r="P361" s="26"/>
      <c r="Q361" s="1"/>
    </row>
    <row r="362" spans="1:17" s="2" customFormat="1" ht="15.75" customHeight="1">
      <c r="A362" s="1"/>
      <c r="B362" s="1"/>
      <c r="C362" s="1"/>
      <c r="D362" s="733"/>
      <c r="E362" s="1"/>
      <c r="F362" s="1"/>
      <c r="G362" s="1"/>
      <c r="H362" s="99"/>
      <c r="I362" s="1"/>
      <c r="J362" s="1"/>
      <c r="K362" s="1"/>
      <c r="L362" s="1"/>
      <c r="M362" s="1"/>
      <c r="N362" s="1"/>
      <c r="O362" s="1"/>
      <c r="P362" s="26"/>
      <c r="Q362" s="1"/>
    </row>
    <row r="363" spans="1:17" s="2" customFormat="1" ht="15.75" customHeight="1">
      <c r="A363" s="1"/>
      <c r="B363" s="1"/>
      <c r="C363" s="1"/>
      <c r="D363" s="733"/>
      <c r="E363" s="1"/>
      <c r="F363" s="1"/>
      <c r="G363" s="1"/>
      <c r="H363" s="99"/>
      <c r="I363" s="1"/>
      <c r="J363" s="1"/>
      <c r="K363" s="1"/>
      <c r="L363" s="1"/>
      <c r="M363" s="1"/>
      <c r="N363" s="1"/>
      <c r="O363" s="1"/>
      <c r="P363" s="26"/>
      <c r="Q363" s="1"/>
    </row>
    <row r="364" spans="1:17" s="2" customFormat="1" ht="15.75" customHeight="1">
      <c r="A364" s="1"/>
      <c r="B364" s="1"/>
      <c r="C364" s="1"/>
      <c r="D364" s="733"/>
      <c r="E364" s="1"/>
      <c r="F364" s="1"/>
      <c r="G364" s="1"/>
      <c r="H364" s="99"/>
      <c r="I364" s="1"/>
      <c r="J364" s="1"/>
      <c r="K364" s="1"/>
      <c r="L364" s="1"/>
      <c r="M364" s="1"/>
      <c r="N364" s="1"/>
      <c r="O364" s="1"/>
      <c r="P364" s="26"/>
      <c r="Q364" s="1"/>
    </row>
    <row r="365" spans="1:17" s="2" customFormat="1" ht="15.75" customHeight="1">
      <c r="A365" s="1"/>
      <c r="B365" s="1"/>
      <c r="C365" s="1"/>
      <c r="D365" s="733"/>
      <c r="E365" s="1"/>
      <c r="F365" s="1"/>
      <c r="G365" s="1"/>
      <c r="H365" s="99"/>
      <c r="I365" s="1"/>
      <c r="J365" s="1"/>
      <c r="K365" s="1"/>
      <c r="L365" s="1"/>
      <c r="M365" s="1"/>
      <c r="N365" s="1"/>
      <c r="O365" s="1"/>
      <c r="P365" s="26"/>
      <c r="Q365" s="1"/>
    </row>
    <row r="366" spans="1:17" s="2" customFormat="1" ht="15.75" customHeight="1">
      <c r="A366" s="1"/>
      <c r="B366" s="1"/>
      <c r="C366" s="1"/>
      <c r="D366" s="733"/>
      <c r="E366" s="1"/>
      <c r="F366" s="1"/>
      <c r="G366" s="1"/>
      <c r="H366" s="99"/>
      <c r="I366" s="1"/>
      <c r="J366" s="1"/>
      <c r="K366" s="1"/>
      <c r="L366" s="1"/>
      <c r="M366" s="1"/>
      <c r="N366" s="1"/>
      <c r="O366" s="1"/>
      <c r="P366" s="26"/>
      <c r="Q366" s="1"/>
    </row>
    <row r="367" spans="1:17" s="2" customFormat="1" ht="15.75" customHeight="1">
      <c r="A367" s="1"/>
      <c r="B367" s="1"/>
      <c r="C367" s="1"/>
      <c r="D367" s="733"/>
      <c r="E367" s="1"/>
      <c r="F367" s="1"/>
      <c r="G367" s="1"/>
      <c r="H367" s="99"/>
      <c r="I367" s="1"/>
      <c r="J367" s="1"/>
      <c r="K367" s="1"/>
      <c r="L367" s="1"/>
      <c r="M367" s="1"/>
      <c r="N367" s="1"/>
      <c r="O367" s="1"/>
      <c r="P367" s="26"/>
      <c r="Q367" s="1"/>
    </row>
    <row r="368" spans="1:17" s="2" customFormat="1" ht="15.75" customHeight="1">
      <c r="A368" s="1"/>
      <c r="B368" s="1"/>
      <c r="C368" s="1"/>
      <c r="D368" s="733"/>
      <c r="E368" s="1"/>
      <c r="F368" s="1"/>
      <c r="G368" s="1"/>
      <c r="H368" s="99"/>
      <c r="I368" s="1"/>
      <c r="J368" s="1"/>
      <c r="K368" s="1"/>
      <c r="L368" s="1"/>
      <c r="M368" s="1"/>
      <c r="N368" s="1"/>
      <c r="O368" s="1"/>
      <c r="P368" s="26"/>
      <c r="Q368" s="1"/>
    </row>
    <row r="369" spans="1:17" s="2" customFormat="1" ht="15.75" customHeight="1">
      <c r="A369" s="1"/>
      <c r="B369" s="1"/>
      <c r="C369" s="1"/>
      <c r="D369" s="733"/>
      <c r="E369" s="1"/>
      <c r="F369" s="1"/>
      <c r="G369" s="1"/>
      <c r="H369" s="99"/>
      <c r="I369" s="1"/>
      <c r="J369" s="1"/>
      <c r="K369" s="1"/>
      <c r="L369" s="1"/>
      <c r="M369" s="1"/>
      <c r="N369" s="1"/>
      <c r="O369" s="1"/>
      <c r="P369" s="26"/>
      <c r="Q369" s="1"/>
    </row>
    <row r="370" spans="1:17" s="2" customFormat="1" ht="15.75" customHeight="1">
      <c r="A370" s="1"/>
      <c r="B370" s="1"/>
      <c r="C370" s="1"/>
      <c r="D370" s="733"/>
      <c r="E370" s="1"/>
      <c r="F370" s="1"/>
      <c r="G370" s="1"/>
      <c r="H370" s="99"/>
      <c r="I370" s="1"/>
      <c r="J370" s="1"/>
      <c r="K370" s="1"/>
      <c r="L370" s="1"/>
      <c r="M370" s="1"/>
      <c r="N370" s="1"/>
      <c r="O370" s="1"/>
      <c r="P370" s="26"/>
      <c r="Q370" s="1"/>
    </row>
    <row r="371" spans="1:17" s="2" customFormat="1" ht="15.75" customHeight="1">
      <c r="A371" s="1"/>
      <c r="B371" s="1"/>
      <c r="C371" s="1"/>
      <c r="D371" s="733"/>
      <c r="E371" s="1"/>
      <c r="F371" s="1"/>
      <c r="G371" s="1"/>
      <c r="H371" s="99"/>
      <c r="I371" s="1"/>
      <c r="J371" s="1"/>
      <c r="K371" s="1"/>
      <c r="L371" s="1"/>
      <c r="M371" s="1"/>
      <c r="N371" s="1"/>
      <c r="O371" s="1"/>
      <c r="P371" s="26"/>
      <c r="Q371" s="1"/>
    </row>
    <row r="372" spans="1:17" s="2" customFormat="1" ht="15.75" customHeight="1">
      <c r="A372" s="1"/>
      <c r="B372" s="1"/>
      <c r="C372" s="1"/>
      <c r="D372" s="733"/>
      <c r="E372" s="1"/>
      <c r="F372" s="1"/>
      <c r="G372" s="1"/>
      <c r="H372" s="99"/>
      <c r="I372" s="1"/>
      <c r="J372" s="1"/>
      <c r="K372" s="1"/>
      <c r="L372" s="1"/>
      <c r="M372" s="1"/>
      <c r="N372" s="1"/>
      <c r="O372" s="1"/>
      <c r="P372" s="26"/>
      <c r="Q372" s="1"/>
    </row>
    <row r="373" spans="1:17" s="2" customFormat="1" ht="15.75" customHeight="1">
      <c r="A373" s="1"/>
      <c r="B373" s="1"/>
      <c r="C373" s="1"/>
      <c r="D373" s="733"/>
      <c r="E373" s="1"/>
      <c r="F373" s="1"/>
      <c r="G373" s="1"/>
      <c r="H373" s="99"/>
      <c r="I373" s="1"/>
      <c r="J373" s="1"/>
      <c r="K373" s="1"/>
      <c r="L373" s="1"/>
      <c r="M373" s="1"/>
      <c r="N373" s="1"/>
      <c r="O373" s="1"/>
      <c r="P373" s="26"/>
      <c r="Q373" s="1"/>
    </row>
    <row r="374" spans="1:17" s="2" customFormat="1" ht="15.75" customHeight="1">
      <c r="A374" s="1"/>
      <c r="B374" s="1"/>
      <c r="C374" s="1"/>
      <c r="D374" s="733"/>
      <c r="E374" s="1"/>
      <c r="F374" s="1"/>
      <c r="G374" s="1"/>
      <c r="H374" s="99"/>
      <c r="I374" s="1"/>
      <c r="J374" s="1"/>
      <c r="K374" s="1"/>
      <c r="L374" s="1"/>
      <c r="M374" s="1"/>
      <c r="N374" s="1"/>
      <c r="O374" s="1"/>
      <c r="P374" s="26"/>
      <c r="Q374" s="1"/>
    </row>
    <row r="375" spans="1:17" s="2" customFormat="1" ht="15.75" customHeight="1">
      <c r="A375" s="1"/>
      <c r="B375" s="1"/>
      <c r="C375" s="1"/>
      <c r="D375" s="733"/>
      <c r="E375" s="1"/>
      <c r="F375" s="1"/>
      <c r="G375" s="1"/>
      <c r="H375" s="99"/>
      <c r="I375" s="1"/>
      <c r="J375" s="1"/>
      <c r="K375" s="1"/>
      <c r="L375" s="1"/>
      <c r="M375" s="1"/>
      <c r="N375" s="1"/>
      <c r="O375" s="1"/>
      <c r="P375" s="26"/>
      <c r="Q375" s="1"/>
    </row>
    <row r="376" spans="1:17" s="2" customFormat="1" ht="15.75" customHeight="1">
      <c r="A376" s="1"/>
      <c r="B376" s="1"/>
      <c r="C376" s="1"/>
      <c r="D376" s="733"/>
      <c r="E376" s="1"/>
      <c r="F376" s="1"/>
      <c r="G376" s="1"/>
      <c r="H376" s="99"/>
      <c r="I376" s="1"/>
      <c r="J376" s="1"/>
      <c r="K376" s="1"/>
      <c r="L376" s="1"/>
      <c r="M376" s="1"/>
      <c r="N376" s="1"/>
      <c r="O376" s="1"/>
      <c r="P376" s="26"/>
      <c r="Q376" s="1"/>
    </row>
    <row r="377" spans="1:17" s="2" customFormat="1" ht="15.75" customHeight="1">
      <c r="A377" s="1"/>
      <c r="B377" s="1"/>
      <c r="C377" s="1"/>
      <c r="D377" s="733"/>
      <c r="E377" s="1"/>
      <c r="F377" s="1"/>
      <c r="G377" s="1"/>
      <c r="H377" s="99"/>
      <c r="I377" s="1"/>
      <c r="J377" s="1"/>
      <c r="K377" s="1"/>
      <c r="L377" s="1"/>
      <c r="M377" s="1"/>
      <c r="N377" s="1"/>
      <c r="O377" s="1"/>
      <c r="P377" s="26"/>
      <c r="Q377" s="1"/>
    </row>
    <row r="378" spans="1:17" s="2" customFormat="1" ht="15.75" customHeight="1">
      <c r="A378" s="1"/>
      <c r="B378" s="1"/>
      <c r="C378" s="1"/>
      <c r="D378" s="733"/>
      <c r="E378" s="1"/>
      <c r="F378" s="1"/>
      <c r="G378" s="1"/>
      <c r="H378" s="99"/>
      <c r="I378" s="1"/>
      <c r="J378" s="1"/>
      <c r="K378" s="1"/>
      <c r="L378" s="1"/>
      <c r="M378" s="1"/>
      <c r="N378" s="1"/>
      <c r="O378" s="1"/>
      <c r="P378" s="26"/>
      <c r="Q378" s="1"/>
    </row>
    <row r="379" spans="1:17" s="2" customFormat="1" ht="15.75" customHeight="1">
      <c r="A379" s="1"/>
      <c r="B379" s="1"/>
      <c r="C379" s="1"/>
      <c r="D379" s="733"/>
      <c r="E379" s="1"/>
      <c r="F379" s="1"/>
      <c r="G379" s="1"/>
      <c r="H379" s="99"/>
      <c r="I379" s="1"/>
      <c r="J379" s="1"/>
      <c r="K379" s="1"/>
      <c r="L379" s="1"/>
      <c r="M379" s="1"/>
      <c r="N379" s="1"/>
      <c r="O379" s="1"/>
      <c r="P379" s="26"/>
      <c r="Q379" s="1"/>
    </row>
    <row r="380" spans="1:17" s="2" customFormat="1" ht="15.75" customHeight="1">
      <c r="A380" s="1"/>
      <c r="B380" s="1"/>
      <c r="C380" s="1"/>
      <c r="D380" s="733"/>
      <c r="E380" s="1"/>
      <c r="F380" s="1"/>
      <c r="G380" s="1"/>
      <c r="H380" s="99"/>
      <c r="I380" s="1"/>
      <c r="J380" s="1"/>
      <c r="K380" s="1"/>
      <c r="L380" s="1"/>
      <c r="M380" s="1"/>
      <c r="N380" s="1"/>
      <c r="O380" s="1"/>
      <c r="P380" s="26"/>
      <c r="Q380" s="1"/>
    </row>
    <row r="381" spans="1:17" s="2" customFormat="1" ht="15.75" customHeight="1">
      <c r="A381" s="1"/>
      <c r="B381" s="1"/>
      <c r="C381" s="1"/>
      <c r="D381" s="733"/>
      <c r="E381" s="1"/>
      <c r="F381" s="1"/>
      <c r="G381" s="1"/>
      <c r="H381" s="99"/>
      <c r="I381" s="1"/>
      <c r="J381" s="1"/>
      <c r="K381" s="1"/>
      <c r="L381" s="1"/>
      <c r="M381" s="1"/>
      <c r="N381" s="1"/>
      <c r="O381" s="1"/>
      <c r="P381" s="26"/>
      <c r="Q381" s="1"/>
    </row>
    <row r="382" spans="1:17" s="2" customFormat="1" ht="15.75" customHeight="1">
      <c r="A382" s="1"/>
      <c r="B382" s="1"/>
      <c r="C382" s="1"/>
      <c r="D382" s="733"/>
      <c r="E382" s="1"/>
      <c r="F382" s="1"/>
      <c r="G382" s="1"/>
      <c r="H382" s="99"/>
      <c r="I382" s="1"/>
      <c r="J382" s="1"/>
      <c r="K382" s="1"/>
      <c r="L382" s="1"/>
      <c r="M382" s="1"/>
      <c r="N382" s="1"/>
      <c r="O382" s="1"/>
      <c r="P382" s="26"/>
      <c r="Q382" s="1"/>
    </row>
    <row r="383" spans="1:17" s="2" customFormat="1" ht="15.75" customHeight="1">
      <c r="A383" s="1"/>
      <c r="B383" s="1"/>
      <c r="C383" s="1"/>
      <c r="D383" s="733"/>
      <c r="E383" s="1"/>
      <c r="F383" s="1"/>
      <c r="G383" s="1"/>
      <c r="H383" s="99"/>
      <c r="I383" s="1"/>
      <c r="J383" s="1"/>
      <c r="K383" s="1"/>
      <c r="L383" s="1"/>
      <c r="M383" s="1"/>
      <c r="N383" s="1"/>
      <c r="O383" s="1"/>
      <c r="P383" s="26"/>
      <c r="Q383" s="1"/>
    </row>
    <row r="384" spans="1:17" s="2" customFormat="1" ht="15.75" customHeight="1">
      <c r="A384" s="1"/>
      <c r="B384" s="1"/>
      <c r="C384" s="1"/>
      <c r="D384" s="733"/>
      <c r="E384" s="1"/>
      <c r="F384" s="1"/>
      <c r="G384" s="1"/>
      <c r="H384" s="99"/>
      <c r="I384" s="1"/>
      <c r="J384" s="1"/>
      <c r="K384" s="1"/>
      <c r="L384" s="1"/>
      <c r="M384" s="1"/>
      <c r="N384" s="1"/>
      <c r="O384" s="1"/>
      <c r="P384" s="26"/>
      <c r="Q384" s="1"/>
    </row>
    <row r="385" spans="1:17" s="2" customFormat="1" ht="15.75" customHeight="1">
      <c r="A385" s="1"/>
      <c r="B385" s="1"/>
      <c r="C385" s="1"/>
      <c r="D385" s="733"/>
      <c r="E385" s="1"/>
      <c r="F385" s="1"/>
      <c r="G385" s="1"/>
      <c r="H385" s="99"/>
      <c r="I385" s="1"/>
      <c r="J385" s="1"/>
      <c r="K385" s="1"/>
      <c r="L385" s="1"/>
      <c r="M385" s="1"/>
      <c r="N385" s="1"/>
      <c r="O385" s="1"/>
      <c r="P385" s="26"/>
      <c r="Q385" s="1"/>
    </row>
    <row r="386" spans="1:17" s="2" customFormat="1" ht="15.75" customHeight="1">
      <c r="A386" s="1"/>
      <c r="B386" s="1"/>
      <c r="C386" s="1"/>
      <c r="D386" s="733"/>
      <c r="E386" s="1"/>
      <c r="F386" s="1"/>
      <c r="G386" s="1"/>
      <c r="H386" s="99"/>
      <c r="I386" s="1"/>
      <c r="J386" s="1"/>
      <c r="K386" s="1"/>
      <c r="L386" s="1"/>
      <c r="M386" s="1"/>
      <c r="N386" s="1"/>
      <c r="O386" s="1"/>
      <c r="P386" s="26"/>
      <c r="Q386" s="1"/>
    </row>
    <row r="387" spans="1:17" s="2" customFormat="1" ht="15.75" customHeight="1">
      <c r="A387" s="1"/>
      <c r="B387" s="1"/>
      <c r="C387" s="1"/>
      <c r="D387" s="733"/>
      <c r="E387" s="1"/>
      <c r="F387" s="1"/>
      <c r="G387" s="1"/>
      <c r="H387" s="99"/>
      <c r="I387" s="1"/>
      <c r="J387" s="1"/>
      <c r="K387" s="1"/>
      <c r="L387" s="1"/>
      <c r="M387" s="1"/>
      <c r="N387" s="1"/>
      <c r="O387" s="1"/>
      <c r="P387" s="26"/>
      <c r="Q387" s="1"/>
    </row>
    <row r="388" spans="1:17" s="2" customFormat="1" ht="15.75" customHeight="1">
      <c r="A388" s="1"/>
      <c r="B388" s="1"/>
      <c r="C388" s="1"/>
      <c r="D388" s="733"/>
      <c r="E388" s="1"/>
      <c r="F388" s="1"/>
      <c r="G388" s="1"/>
      <c r="H388" s="99"/>
      <c r="I388" s="1"/>
      <c r="J388" s="1"/>
      <c r="K388" s="1"/>
      <c r="L388" s="1"/>
      <c r="M388" s="1"/>
      <c r="N388" s="1"/>
      <c r="O388" s="1"/>
      <c r="P388" s="26"/>
      <c r="Q388" s="1"/>
    </row>
    <row r="389" spans="1:17" s="2" customFormat="1" ht="15.75" customHeight="1">
      <c r="A389" s="1"/>
      <c r="B389" s="1"/>
      <c r="C389" s="1"/>
      <c r="D389" s="733"/>
      <c r="E389" s="1"/>
      <c r="F389" s="1"/>
      <c r="G389" s="1"/>
      <c r="H389" s="99"/>
      <c r="I389" s="1"/>
      <c r="J389" s="1"/>
      <c r="K389" s="1"/>
      <c r="L389" s="1"/>
      <c r="M389" s="1"/>
      <c r="N389" s="1"/>
      <c r="O389" s="1"/>
      <c r="P389" s="26"/>
      <c r="Q389" s="1"/>
    </row>
    <row r="390" spans="1:17" s="2" customFormat="1" ht="15.75" customHeight="1">
      <c r="A390" s="1"/>
      <c r="B390" s="1"/>
      <c r="C390" s="1"/>
      <c r="D390" s="733"/>
      <c r="E390" s="1"/>
      <c r="F390" s="1"/>
      <c r="G390" s="1"/>
      <c r="H390" s="99"/>
      <c r="I390" s="1"/>
      <c r="J390" s="1"/>
      <c r="K390" s="1"/>
      <c r="L390" s="1"/>
      <c r="M390" s="1"/>
      <c r="N390" s="1"/>
      <c r="O390" s="1"/>
      <c r="P390" s="26"/>
      <c r="Q390" s="1"/>
    </row>
    <row r="391" spans="1:17" s="2" customFormat="1" ht="15.75" customHeight="1">
      <c r="A391" s="1"/>
      <c r="B391" s="1"/>
      <c r="C391" s="1"/>
      <c r="D391" s="733"/>
      <c r="E391" s="1"/>
      <c r="F391" s="1"/>
      <c r="G391" s="1"/>
      <c r="H391" s="99"/>
      <c r="I391" s="1"/>
      <c r="J391" s="1"/>
      <c r="K391" s="1"/>
      <c r="L391" s="1"/>
      <c r="M391" s="1"/>
      <c r="N391" s="1"/>
      <c r="O391" s="1"/>
      <c r="P391" s="26"/>
      <c r="Q391" s="1"/>
    </row>
    <row r="392" spans="1:17" s="2" customFormat="1" ht="15.75" customHeight="1">
      <c r="A392" s="1"/>
      <c r="B392" s="1"/>
      <c r="C392" s="1"/>
      <c r="D392" s="733"/>
      <c r="E392" s="1"/>
      <c r="F392" s="1"/>
      <c r="G392" s="1"/>
      <c r="H392" s="99"/>
      <c r="I392" s="1"/>
      <c r="J392" s="1"/>
      <c r="K392" s="1"/>
      <c r="L392" s="1"/>
      <c r="M392" s="1"/>
      <c r="N392" s="1"/>
      <c r="O392" s="1"/>
      <c r="P392" s="26"/>
      <c r="Q392" s="1"/>
    </row>
    <row r="393" spans="1:17" s="2" customFormat="1" ht="15.75" customHeight="1">
      <c r="A393" s="1"/>
      <c r="B393" s="1"/>
      <c r="C393" s="1"/>
      <c r="D393" s="733"/>
      <c r="E393" s="1"/>
      <c r="F393" s="1"/>
      <c r="G393" s="1"/>
      <c r="H393" s="99"/>
      <c r="I393" s="1"/>
      <c r="J393" s="1"/>
      <c r="K393" s="1"/>
      <c r="L393" s="1"/>
      <c r="M393" s="1"/>
      <c r="N393" s="1"/>
      <c r="O393" s="1"/>
      <c r="P393" s="26"/>
      <c r="Q393" s="1"/>
    </row>
    <row r="394" spans="1:17" s="2" customFormat="1" ht="15.75" customHeight="1">
      <c r="A394" s="1"/>
      <c r="B394" s="1"/>
      <c r="C394" s="1"/>
      <c r="D394" s="733"/>
      <c r="E394" s="1"/>
      <c r="F394" s="1"/>
      <c r="G394" s="1"/>
      <c r="H394" s="99"/>
      <c r="I394" s="1"/>
      <c r="J394" s="1"/>
      <c r="K394" s="1"/>
      <c r="L394" s="1"/>
      <c r="M394" s="1"/>
      <c r="N394" s="1"/>
      <c r="O394" s="1"/>
      <c r="P394" s="26"/>
      <c r="Q394" s="1"/>
    </row>
    <row r="395" spans="1:17" s="2" customFormat="1" ht="15.75" customHeight="1">
      <c r="A395" s="1"/>
      <c r="B395" s="1"/>
      <c r="C395" s="1"/>
      <c r="D395" s="733"/>
      <c r="E395" s="1"/>
      <c r="F395" s="1"/>
      <c r="G395" s="1"/>
      <c r="H395" s="99"/>
      <c r="I395" s="1"/>
      <c r="J395" s="1"/>
      <c r="K395" s="1"/>
      <c r="L395" s="1"/>
      <c r="M395" s="1"/>
      <c r="N395" s="1"/>
      <c r="O395" s="1"/>
      <c r="P395" s="26"/>
      <c r="Q395" s="1"/>
    </row>
    <row r="396" spans="1:17" s="2" customFormat="1" ht="15.75" customHeight="1">
      <c r="A396" s="1"/>
      <c r="B396" s="1"/>
      <c r="C396" s="1"/>
      <c r="D396" s="733"/>
      <c r="E396" s="1"/>
      <c r="F396" s="1"/>
      <c r="G396" s="1"/>
      <c r="H396" s="99"/>
      <c r="I396" s="1"/>
      <c r="J396" s="1"/>
      <c r="K396" s="1"/>
      <c r="L396" s="1"/>
      <c r="M396" s="1"/>
      <c r="N396" s="1"/>
      <c r="O396" s="1"/>
      <c r="P396" s="26"/>
      <c r="Q396" s="1"/>
    </row>
    <row r="397" spans="1:17" s="2" customFormat="1" ht="15.75" customHeight="1">
      <c r="A397" s="1"/>
      <c r="B397" s="1"/>
      <c r="C397" s="1"/>
      <c r="D397" s="733"/>
      <c r="E397" s="1"/>
      <c r="F397" s="1"/>
      <c r="G397" s="1"/>
      <c r="H397" s="99"/>
      <c r="I397" s="1"/>
      <c r="J397" s="1"/>
      <c r="K397" s="1"/>
      <c r="L397" s="1"/>
      <c r="M397" s="1"/>
      <c r="N397" s="1"/>
      <c r="O397" s="1"/>
      <c r="P397" s="26"/>
      <c r="Q397" s="1"/>
    </row>
    <row r="398" spans="1:17" s="2" customFormat="1" ht="15.75" customHeight="1">
      <c r="A398" s="1"/>
      <c r="B398" s="1"/>
      <c r="C398" s="1"/>
      <c r="D398" s="733"/>
      <c r="E398" s="1"/>
      <c r="F398" s="1"/>
      <c r="G398" s="1"/>
      <c r="H398" s="99"/>
      <c r="I398" s="1"/>
      <c r="J398" s="1"/>
      <c r="K398" s="1"/>
      <c r="L398" s="1"/>
      <c r="M398" s="1"/>
      <c r="N398" s="1"/>
      <c r="O398" s="1"/>
      <c r="P398" s="26"/>
      <c r="Q398" s="1"/>
    </row>
    <row r="399" spans="1:17" s="2" customFormat="1" ht="15.75" customHeight="1">
      <c r="A399" s="1"/>
      <c r="B399" s="1"/>
      <c r="C399" s="1"/>
      <c r="D399" s="733"/>
      <c r="E399" s="1"/>
      <c r="F399" s="1"/>
      <c r="G399" s="1"/>
      <c r="H399" s="99"/>
      <c r="I399" s="1"/>
      <c r="J399" s="1"/>
      <c r="K399" s="1"/>
      <c r="L399" s="1"/>
      <c r="M399" s="1"/>
      <c r="N399" s="1"/>
      <c r="O399" s="1"/>
      <c r="P399" s="26"/>
      <c r="Q399" s="1"/>
    </row>
    <row r="400" spans="1:17" s="2" customFormat="1" ht="15.75" customHeight="1">
      <c r="A400" s="1"/>
      <c r="B400" s="1"/>
      <c r="C400" s="1"/>
      <c r="D400" s="733"/>
      <c r="E400" s="1"/>
      <c r="F400" s="1"/>
      <c r="G400" s="1"/>
      <c r="H400" s="99"/>
      <c r="I400" s="1"/>
      <c r="J400" s="1"/>
      <c r="K400" s="1"/>
      <c r="L400" s="1"/>
      <c r="M400" s="1"/>
      <c r="N400" s="1"/>
      <c r="O400" s="1"/>
      <c r="P400" s="26"/>
      <c r="Q400" s="1"/>
    </row>
    <row r="401" spans="1:17" s="2" customFormat="1" ht="15.75" customHeight="1">
      <c r="A401" s="1"/>
      <c r="B401" s="1"/>
      <c r="C401" s="1"/>
      <c r="D401" s="733"/>
      <c r="E401" s="1"/>
      <c r="F401" s="1"/>
      <c r="G401" s="1"/>
      <c r="H401" s="99"/>
      <c r="I401" s="1"/>
      <c r="J401" s="1"/>
      <c r="K401" s="1"/>
      <c r="L401" s="1"/>
      <c r="M401" s="1"/>
      <c r="N401" s="1"/>
      <c r="O401" s="1"/>
      <c r="P401" s="26"/>
      <c r="Q401" s="1"/>
    </row>
    <row r="402" spans="1:17" s="2" customFormat="1" ht="15.75" customHeight="1">
      <c r="A402" s="1"/>
      <c r="B402" s="1"/>
      <c r="C402" s="1"/>
      <c r="D402" s="733"/>
      <c r="E402" s="1"/>
      <c r="F402" s="1"/>
      <c r="G402" s="1"/>
      <c r="H402" s="99"/>
      <c r="I402" s="1"/>
      <c r="J402" s="1"/>
      <c r="K402" s="1"/>
      <c r="L402" s="1"/>
      <c r="M402" s="1"/>
      <c r="N402" s="1"/>
      <c r="O402" s="1"/>
      <c r="P402" s="26"/>
      <c r="Q402" s="1"/>
    </row>
    <row r="403" spans="1:17" s="2" customFormat="1" ht="15.75" customHeight="1">
      <c r="A403" s="1"/>
      <c r="B403" s="1"/>
      <c r="C403" s="1"/>
      <c r="D403" s="733"/>
      <c r="E403" s="1"/>
      <c r="F403" s="1"/>
      <c r="G403" s="1"/>
      <c r="H403" s="99"/>
      <c r="I403" s="1"/>
      <c r="J403" s="1"/>
      <c r="K403" s="1"/>
      <c r="L403" s="1"/>
      <c r="M403" s="1"/>
      <c r="N403" s="1"/>
      <c r="O403" s="1"/>
      <c r="P403" s="26"/>
      <c r="Q403" s="1"/>
    </row>
    <row r="404" spans="1:17" s="2" customFormat="1" ht="15.75" customHeight="1">
      <c r="A404" s="1"/>
      <c r="B404" s="1"/>
      <c r="C404" s="1"/>
      <c r="D404" s="733"/>
      <c r="E404" s="1"/>
      <c r="F404" s="1"/>
      <c r="G404" s="1"/>
      <c r="H404" s="99"/>
      <c r="I404" s="1"/>
      <c r="J404" s="1"/>
      <c r="K404" s="1"/>
      <c r="L404" s="1"/>
      <c r="M404" s="1"/>
      <c r="N404" s="1"/>
      <c r="O404" s="1"/>
      <c r="P404" s="26"/>
      <c r="Q404" s="1"/>
    </row>
    <row r="405" spans="1:17" s="2" customFormat="1" ht="15.75" customHeight="1">
      <c r="A405" s="1"/>
      <c r="B405" s="1"/>
      <c r="C405" s="1"/>
      <c r="D405" s="733"/>
      <c r="E405" s="1"/>
      <c r="F405" s="1"/>
      <c r="G405" s="1"/>
      <c r="H405" s="99"/>
      <c r="I405" s="1"/>
      <c r="J405" s="1"/>
      <c r="K405" s="1"/>
      <c r="L405" s="1"/>
      <c r="M405" s="1"/>
      <c r="N405" s="1"/>
      <c r="O405" s="1"/>
      <c r="P405" s="26"/>
      <c r="Q405" s="1"/>
    </row>
    <row r="406" spans="1:17" s="2" customFormat="1" ht="15.75" customHeight="1">
      <c r="A406" s="1"/>
      <c r="B406" s="1"/>
      <c r="C406" s="1"/>
      <c r="D406" s="733"/>
      <c r="E406" s="1"/>
      <c r="F406" s="1"/>
      <c r="G406" s="1"/>
      <c r="H406" s="99"/>
      <c r="I406" s="1"/>
      <c r="J406" s="1"/>
      <c r="K406" s="1"/>
      <c r="L406" s="1"/>
      <c r="M406" s="1"/>
      <c r="N406" s="1"/>
      <c r="O406" s="1"/>
      <c r="P406" s="26"/>
      <c r="Q406" s="1"/>
    </row>
    <row r="407" spans="1:17" s="2" customFormat="1" ht="15.75" customHeight="1">
      <c r="A407" s="1"/>
      <c r="B407" s="1"/>
      <c r="C407" s="1"/>
      <c r="D407" s="733"/>
      <c r="E407" s="1"/>
      <c r="F407" s="1"/>
      <c r="G407" s="1"/>
      <c r="H407" s="99"/>
      <c r="I407" s="1"/>
      <c r="J407" s="1"/>
      <c r="K407" s="1"/>
      <c r="L407" s="1"/>
      <c r="M407" s="1"/>
      <c r="N407" s="1"/>
      <c r="O407" s="1"/>
      <c r="P407" s="26"/>
      <c r="Q407" s="1"/>
    </row>
    <row r="408" spans="1:17" s="2" customFormat="1" ht="15.75" customHeight="1">
      <c r="A408" s="1"/>
      <c r="B408" s="1"/>
      <c r="C408" s="1"/>
      <c r="D408" s="733"/>
      <c r="E408" s="1"/>
      <c r="F408" s="1"/>
      <c r="G408" s="1"/>
      <c r="H408" s="99"/>
      <c r="I408" s="1"/>
      <c r="J408" s="1"/>
      <c r="K408" s="1"/>
      <c r="L408" s="1"/>
      <c r="M408" s="1"/>
      <c r="N408" s="1"/>
      <c r="O408" s="1"/>
      <c r="P408" s="26"/>
      <c r="Q408" s="1"/>
    </row>
    <row r="409" spans="1:17" s="2" customFormat="1" ht="15.75" customHeight="1">
      <c r="A409" s="1"/>
      <c r="B409" s="1"/>
      <c r="C409" s="1"/>
      <c r="D409" s="733"/>
      <c r="E409" s="1"/>
      <c r="F409" s="1"/>
      <c r="G409" s="1"/>
      <c r="H409" s="99"/>
      <c r="I409" s="1"/>
      <c r="J409" s="1"/>
      <c r="K409" s="1"/>
      <c r="L409" s="1"/>
      <c r="M409" s="1"/>
      <c r="N409" s="1"/>
      <c r="O409" s="1"/>
      <c r="P409" s="26"/>
      <c r="Q409" s="1"/>
    </row>
    <row r="410" spans="1:17" s="2" customFormat="1" ht="15.75" customHeight="1">
      <c r="A410" s="1"/>
      <c r="B410" s="1"/>
      <c r="C410" s="1"/>
      <c r="D410" s="733"/>
      <c r="E410" s="1"/>
      <c r="F410" s="1"/>
      <c r="G410" s="1"/>
      <c r="H410" s="99"/>
      <c r="I410" s="1"/>
      <c r="J410" s="1"/>
      <c r="K410" s="1"/>
      <c r="L410" s="1"/>
      <c r="M410" s="1"/>
      <c r="N410" s="1"/>
      <c r="O410" s="1"/>
      <c r="P410" s="26"/>
      <c r="Q410" s="1"/>
    </row>
    <row r="411" spans="1:17" s="2" customFormat="1" ht="15.75" customHeight="1">
      <c r="A411" s="1"/>
      <c r="B411" s="1"/>
      <c r="C411" s="1"/>
      <c r="D411" s="733"/>
      <c r="E411" s="1"/>
      <c r="F411" s="1"/>
      <c r="G411" s="1"/>
      <c r="H411" s="99"/>
      <c r="I411" s="1"/>
      <c r="J411" s="1"/>
      <c r="K411" s="1"/>
      <c r="L411" s="1"/>
      <c r="M411" s="1"/>
      <c r="N411" s="1"/>
      <c r="O411" s="1"/>
      <c r="P411" s="26"/>
      <c r="Q411" s="1"/>
    </row>
    <row r="412" spans="1:17" s="2" customFormat="1" ht="15.75" customHeight="1">
      <c r="A412" s="1"/>
      <c r="B412" s="1"/>
      <c r="C412" s="1"/>
      <c r="D412" s="733"/>
      <c r="E412" s="1"/>
      <c r="F412" s="1"/>
      <c r="G412" s="1"/>
      <c r="H412" s="99"/>
      <c r="I412" s="1"/>
      <c r="J412" s="1"/>
      <c r="K412" s="1"/>
      <c r="L412" s="1"/>
      <c r="M412" s="1"/>
      <c r="N412" s="1"/>
      <c r="O412" s="1"/>
      <c r="P412" s="26"/>
      <c r="Q412" s="1"/>
    </row>
    <row r="413" spans="1:17" s="2" customFormat="1" ht="15.75" customHeight="1">
      <c r="A413" s="1"/>
      <c r="B413" s="1"/>
      <c r="C413" s="1"/>
      <c r="D413" s="733"/>
      <c r="E413" s="1"/>
      <c r="F413" s="1"/>
      <c r="G413" s="1"/>
      <c r="H413" s="99"/>
      <c r="I413" s="1"/>
      <c r="J413" s="1"/>
      <c r="K413" s="1"/>
      <c r="L413" s="1"/>
      <c r="M413" s="1"/>
      <c r="N413" s="1"/>
      <c r="O413" s="1"/>
      <c r="P413" s="26"/>
      <c r="Q413" s="1"/>
    </row>
    <row r="414" spans="1:17" s="2" customFormat="1" ht="15.75" customHeight="1">
      <c r="A414" s="1"/>
      <c r="B414" s="1"/>
      <c r="C414" s="1"/>
      <c r="D414" s="733"/>
      <c r="E414" s="1"/>
      <c r="F414" s="1"/>
      <c r="G414" s="1"/>
      <c r="H414" s="99"/>
      <c r="I414" s="1"/>
      <c r="J414" s="1"/>
      <c r="K414" s="1"/>
      <c r="L414" s="1"/>
      <c r="M414" s="1"/>
      <c r="N414" s="1"/>
      <c r="O414" s="1"/>
      <c r="P414" s="26"/>
      <c r="Q414" s="1"/>
    </row>
    <row r="415" spans="1:17" s="2" customFormat="1" ht="15.75" customHeight="1">
      <c r="A415" s="1"/>
      <c r="B415" s="1"/>
      <c r="C415" s="1"/>
      <c r="D415" s="733"/>
      <c r="E415" s="1"/>
      <c r="F415" s="1"/>
      <c r="G415" s="1"/>
      <c r="H415" s="99"/>
      <c r="I415" s="1"/>
      <c r="J415" s="1"/>
      <c r="K415" s="1"/>
      <c r="L415" s="1"/>
      <c r="M415" s="1"/>
      <c r="N415" s="1"/>
      <c r="O415" s="1"/>
      <c r="P415" s="26"/>
      <c r="Q415" s="1"/>
    </row>
    <row r="416" spans="1:17" s="2" customFormat="1" ht="15.75" customHeight="1">
      <c r="A416" s="1"/>
      <c r="B416" s="1"/>
      <c r="C416" s="1"/>
      <c r="D416" s="733"/>
      <c r="E416" s="1"/>
      <c r="F416" s="1"/>
      <c r="G416" s="1"/>
      <c r="H416" s="99"/>
      <c r="I416" s="1"/>
      <c r="J416" s="1"/>
      <c r="K416" s="1"/>
      <c r="L416" s="1"/>
      <c r="M416" s="1"/>
      <c r="N416" s="1"/>
      <c r="O416" s="1"/>
      <c r="P416" s="26"/>
      <c r="Q416" s="1"/>
    </row>
  </sheetData>
  <mergeCells count="89">
    <mergeCell ref="A1:Q1"/>
    <mergeCell ref="A2:C2"/>
    <mergeCell ref="D2:F2"/>
    <mergeCell ref="H2:Q2"/>
    <mergeCell ref="S2:T2"/>
    <mergeCell ref="Q3:Q4"/>
    <mergeCell ref="R3:T3"/>
    <mergeCell ref="A5:C5"/>
    <mergeCell ref="O5:Q5"/>
    <mergeCell ref="A6:C6"/>
    <mergeCell ref="O6:Q6"/>
    <mergeCell ref="A3:C3"/>
    <mergeCell ref="D3:D4"/>
    <mergeCell ref="E3:E4"/>
    <mergeCell ref="F3:F4"/>
    <mergeCell ref="G3:P4"/>
    <mergeCell ref="B7:C7"/>
    <mergeCell ref="O7:Q7"/>
    <mergeCell ref="C8:C19"/>
    <mergeCell ref="D8:D19"/>
    <mergeCell ref="E8:E19"/>
    <mergeCell ref="F8:F19"/>
    <mergeCell ref="G8:H8"/>
    <mergeCell ref="C20:C21"/>
    <mergeCell ref="D20:D21"/>
    <mergeCell ref="E20:E21"/>
    <mergeCell ref="F20:F21"/>
    <mergeCell ref="C22:C23"/>
    <mergeCell ref="D22:D23"/>
    <mergeCell ref="E22:E23"/>
    <mergeCell ref="F22:F23"/>
    <mergeCell ref="K27:L27"/>
    <mergeCell ref="K28:L28"/>
    <mergeCell ref="K29:L29"/>
    <mergeCell ref="K30:L30"/>
    <mergeCell ref="K32:L32"/>
    <mergeCell ref="K33:L33"/>
    <mergeCell ref="B52:C52"/>
    <mergeCell ref="K34:L34"/>
    <mergeCell ref="K36:L36"/>
    <mergeCell ref="K37:L37"/>
    <mergeCell ref="K38:L38"/>
    <mergeCell ref="K40:L40"/>
    <mergeCell ref="K41:L41"/>
    <mergeCell ref="K42:L42"/>
    <mergeCell ref="B43:C43"/>
    <mergeCell ref="G44:H44"/>
    <mergeCell ref="G47:H47"/>
    <mergeCell ref="G49:J49"/>
    <mergeCell ref="O52:Q52"/>
    <mergeCell ref="A88:C88"/>
    <mergeCell ref="B89:C89"/>
    <mergeCell ref="A93:C93"/>
    <mergeCell ref="O93:Q93"/>
    <mergeCell ref="B94:C94"/>
    <mergeCell ref="O94:Q94"/>
    <mergeCell ref="B109:C109"/>
    <mergeCell ref="A112:C112"/>
    <mergeCell ref="B113:C113"/>
    <mergeCell ref="B130:C130"/>
    <mergeCell ref="B117:C117"/>
    <mergeCell ref="A119:C119"/>
    <mergeCell ref="O119:Q119"/>
    <mergeCell ref="B120:C120"/>
    <mergeCell ref="O120:Q120"/>
    <mergeCell ref="C121:C122"/>
    <mergeCell ref="E121:E123"/>
    <mergeCell ref="F121:F123"/>
    <mergeCell ref="U2:V2"/>
    <mergeCell ref="C139:C140"/>
    <mergeCell ref="D139:D140"/>
    <mergeCell ref="E139:E140"/>
    <mergeCell ref="F139:F140"/>
    <mergeCell ref="P133:Q133"/>
    <mergeCell ref="B134:C134"/>
    <mergeCell ref="A137:C137"/>
    <mergeCell ref="B138:C138"/>
    <mergeCell ref="C64:C65"/>
    <mergeCell ref="C124:C125"/>
    <mergeCell ref="E124:E125"/>
    <mergeCell ref="A126:C126"/>
    <mergeCell ref="B127:C127"/>
    <mergeCell ref="A129:C129"/>
    <mergeCell ref="A116:C116"/>
    <mergeCell ref="C141:C142"/>
    <mergeCell ref="D141:D142"/>
    <mergeCell ref="E141:E142"/>
    <mergeCell ref="F141:F142"/>
    <mergeCell ref="A133:C133"/>
  </mergeCells>
  <phoneticPr fontId="2" type="noConversion"/>
  <printOptions horizontalCentered="1"/>
  <pageMargins left="0" right="0" top="0.15748031496062992" bottom="0.15748031496062992" header="0" footer="0"/>
  <pageSetup paperSize="9" scale="95" orientation="portrait" r:id="rId1"/>
  <headerFooter alignWithMargins="0"/>
  <rowBreaks count="2" manualBreakCount="2">
    <brk id="34" max="16" man="1"/>
    <brk id="100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2"/>
  <sheetViews>
    <sheetView topLeftCell="A7" workbookViewId="0">
      <selection activeCell="I12" sqref="I12:I21"/>
    </sheetView>
  </sheetViews>
  <sheetFormatPr defaultColWidth="8.88671875" defaultRowHeight="23.25" customHeight="1"/>
  <cols>
    <col min="1" max="1" width="8.21875" style="1" bestFit="1" customWidth="1"/>
    <col min="2" max="3" width="15.44140625" style="1" bestFit="1" customWidth="1"/>
    <col min="4" max="4" width="9.21875" style="1" customWidth="1"/>
    <col min="5" max="5" width="15.44140625" style="1" bestFit="1" customWidth="1"/>
    <col min="6" max="6" width="13.77734375" style="1" bestFit="1" customWidth="1"/>
    <col min="7" max="7" width="9.21875" style="1" customWidth="1"/>
    <col min="8" max="8" width="5.21875" style="1" customWidth="1"/>
    <col min="9" max="9" width="8.88671875" style="423" customWidth="1"/>
    <col min="10" max="16384" width="8.88671875" style="1"/>
  </cols>
  <sheetData>
    <row r="1" spans="1:10" ht="51" customHeight="1">
      <c r="A1" s="1320" t="s">
        <v>214</v>
      </c>
      <c r="B1" s="1320"/>
      <c r="C1" s="1320"/>
      <c r="D1" s="1320"/>
      <c r="E1" s="1320"/>
      <c r="F1" s="1320"/>
      <c r="G1" s="1320"/>
    </row>
    <row r="2" spans="1:10" ht="24.75" customHeight="1">
      <c r="A2" s="1321" t="s">
        <v>215</v>
      </c>
      <c r="B2" s="1321"/>
      <c r="C2" s="1321"/>
      <c r="D2" s="1321"/>
      <c r="E2" s="1321"/>
      <c r="F2" s="1321"/>
      <c r="G2" s="1321"/>
    </row>
    <row r="3" spans="1:10" ht="14.25" customHeight="1" thickBot="1"/>
    <row r="4" spans="1:10" ht="23.25" customHeight="1" thickBot="1">
      <c r="A4" s="312" t="s">
        <v>199</v>
      </c>
      <c r="B4" s="1324" t="s">
        <v>196</v>
      </c>
      <c r="C4" s="1325"/>
      <c r="D4" s="1325"/>
      <c r="E4" s="1325" t="s">
        <v>197</v>
      </c>
      <c r="F4" s="1325"/>
      <c r="G4" s="1326"/>
    </row>
    <row r="5" spans="1:10" ht="23.25" customHeight="1">
      <c r="A5" s="307" t="s">
        <v>188</v>
      </c>
      <c r="B5" s="308" t="s">
        <v>186</v>
      </c>
      <c r="C5" s="309" t="s">
        <v>185</v>
      </c>
      <c r="D5" s="310" t="s">
        <v>187</v>
      </c>
      <c r="E5" s="311" t="s">
        <v>186</v>
      </c>
      <c r="F5" s="309" t="s">
        <v>185</v>
      </c>
      <c r="G5" s="313" t="s">
        <v>187</v>
      </c>
    </row>
    <row r="6" spans="1:10" ht="23.25" customHeight="1">
      <c r="A6" s="305" t="s">
        <v>200</v>
      </c>
      <c r="B6" s="304">
        <f>세입예산서!N68</f>
        <v>64752798</v>
      </c>
      <c r="C6" s="293">
        <f>세입예산서!Q7</f>
        <v>16378362</v>
      </c>
      <c r="D6" s="293">
        <f>세입예산서!T138</f>
        <v>0</v>
      </c>
      <c r="E6" s="293">
        <f>B6</f>
        <v>64752798</v>
      </c>
      <c r="F6" s="293">
        <f>C6</f>
        <v>16378362</v>
      </c>
      <c r="G6" s="314">
        <f>세출예산서!T152</f>
        <v>0</v>
      </c>
    </row>
    <row r="7" spans="1:10" ht="23.25" customHeight="1" thickBot="1">
      <c r="A7" s="306" t="s">
        <v>213</v>
      </c>
      <c r="B7" s="1327">
        <f>B6+C6+D6</f>
        <v>81131160</v>
      </c>
      <c r="C7" s="1328"/>
      <c r="D7" s="1328"/>
      <c r="E7" s="1328">
        <f>E6+F6+G6</f>
        <v>81131160</v>
      </c>
      <c r="F7" s="1328"/>
      <c r="G7" s="1329"/>
    </row>
    <row r="9" spans="1:10" ht="23.25" customHeight="1">
      <c r="A9" s="1321" t="s">
        <v>201</v>
      </c>
      <c r="B9" s="1321"/>
      <c r="C9" s="1321"/>
      <c r="D9" s="1321"/>
      <c r="E9" s="1321"/>
      <c r="F9" s="1321"/>
      <c r="G9" s="1321"/>
    </row>
    <row r="10" spans="1:10" ht="12.75" customHeight="1" thickBot="1"/>
    <row r="11" spans="1:10" s="26" customFormat="1" ht="39" customHeight="1" thickBot="1">
      <c r="A11" s="1330" t="s">
        <v>203</v>
      </c>
      <c r="B11" s="1331"/>
      <c r="C11" s="294" t="s">
        <v>196</v>
      </c>
      <c r="D11" s="1322" t="s">
        <v>197</v>
      </c>
      <c r="E11" s="1322"/>
      <c r="F11" s="296" t="s">
        <v>204</v>
      </c>
      <c r="G11" s="299" t="s">
        <v>202</v>
      </c>
      <c r="H11" s="773"/>
      <c r="I11" s="773"/>
      <c r="J11" s="773"/>
    </row>
    <row r="12" spans="1:10" ht="41.25" customHeight="1">
      <c r="A12" s="1317" t="s">
        <v>210</v>
      </c>
      <c r="B12" s="1318"/>
      <c r="C12" s="1310">
        <f>B6+C6</f>
        <v>81131160</v>
      </c>
      <c r="D12" s="1323">
        <f>세출예산서!E7</f>
        <v>56391021.487499997</v>
      </c>
      <c r="E12" s="1323"/>
      <c r="F12" s="771">
        <f>D12/C12</f>
        <v>0.69505996817375715</v>
      </c>
      <c r="G12" s="300"/>
      <c r="H12" s="774"/>
      <c r="I12" s="424">
        <v>0.63</v>
      </c>
      <c r="J12" s="774"/>
    </row>
    <row r="13" spans="1:10" ht="41.25" customHeight="1">
      <c r="A13" s="1315" t="s">
        <v>209</v>
      </c>
      <c r="B13" s="1316"/>
      <c r="C13" s="1310"/>
      <c r="D13" s="1314">
        <f>세출예산서!Q116</f>
        <v>9768000</v>
      </c>
      <c r="E13" s="1314"/>
      <c r="F13" s="772">
        <f>D13/C12</f>
        <v>0.12039763760311081</v>
      </c>
      <c r="G13" s="301"/>
      <c r="H13" s="774"/>
      <c r="I13" s="424">
        <v>0.11</v>
      </c>
      <c r="J13" s="774"/>
    </row>
    <row r="14" spans="1:10" ht="41.25" customHeight="1">
      <c r="A14" s="1315" t="s">
        <v>208</v>
      </c>
      <c r="B14" s="1316"/>
      <c r="C14" s="1310"/>
      <c r="D14" s="1314">
        <f>세출예산서!O62</f>
        <v>30190000</v>
      </c>
      <c r="E14" s="1314"/>
      <c r="F14" s="772">
        <f>D14/C12</f>
        <v>0.37211350115048275</v>
      </c>
      <c r="G14" s="301"/>
      <c r="H14" s="774"/>
      <c r="I14" s="425">
        <v>0.09</v>
      </c>
      <c r="J14" s="774"/>
    </row>
    <row r="15" spans="1:10" ht="41.25" customHeight="1">
      <c r="A15" s="1315" t="s">
        <v>266</v>
      </c>
      <c r="B15" s="1316"/>
      <c r="C15" s="1310"/>
      <c r="D15" s="1314">
        <f>세출예산서!Q104</f>
        <v>0</v>
      </c>
      <c r="E15" s="1314"/>
      <c r="F15" s="772">
        <f>D15/C12</f>
        <v>0</v>
      </c>
      <c r="G15" s="301"/>
      <c r="H15" s="774"/>
      <c r="I15" s="425">
        <v>0.01</v>
      </c>
      <c r="J15" s="774"/>
    </row>
    <row r="16" spans="1:10" ht="41.25" customHeight="1">
      <c r="A16" s="1315" t="s">
        <v>751</v>
      </c>
      <c r="B16" s="1316"/>
      <c r="C16" s="1310"/>
      <c r="D16" s="1314">
        <f>세출예산서!Q141</f>
        <v>9000000</v>
      </c>
      <c r="E16" s="1314"/>
      <c r="F16" s="772">
        <f>D16/C12</f>
        <v>0.11093148427805051</v>
      </c>
      <c r="G16" s="301"/>
      <c r="H16" s="774"/>
      <c r="I16" s="424">
        <v>0.1</v>
      </c>
      <c r="J16" s="774"/>
    </row>
    <row r="17" spans="1:10" ht="41.25" customHeight="1">
      <c r="A17" s="1315" t="s">
        <v>222</v>
      </c>
      <c r="B17" s="1316"/>
      <c r="C17" s="1310"/>
      <c r="D17" s="1319">
        <f>세출예산서!H157+세출예산서!H154</f>
        <v>1007179</v>
      </c>
      <c r="E17" s="1319"/>
      <c r="F17" s="772">
        <f>D17/C12</f>
        <v>1.2414206822631403E-2</v>
      </c>
      <c r="G17" s="305"/>
      <c r="H17" s="774"/>
      <c r="I17" s="424">
        <v>0.02</v>
      </c>
      <c r="J17" s="774"/>
    </row>
    <row r="18" spans="1:10" ht="41.25" customHeight="1">
      <c r="A18" s="1315" t="s">
        <v>207</v>
      </c>
      <c r="B18" s="1316"/>
      <c r="C18" s="1310"/>
      <c r="D18" s="1314">
        <f>세출예산서!Q161</f>
        <v>0</v>
      </c>
      <c r="E18" s="1314"/>
      <c r="F18" s="772">
        <f>D18/C12</f>
        <v>0</v>
      </c>
      <c r="G18" s="301"/>
      <c r="H18" s="774"/>
      <c r="I18" s="425">
        <v>0.02</v>
      </c>
      <c r="J18" s="774"/>
    </row>
    <row r="19" spans="1:10" ht="41.25" customHeight="1" thickBot="1">
      <c r="A19" s="1315" t="s">
        <v>206</v>
      </c>
      <c r="B19" s="1316"/>
      <c r="C19" s="1310"/>
      <c r="D19" s="1314">
        <f>세출예산서!Q162</f>
        <v>0</v>
      </c>
      <c r="E19" s="1314"/>
      <c r="F19" s="772">
        <f>D19/C12</f>
        <v>0</v>
      </c>
      <c r="G19" s="301"/>
      <c r="H19" s="774"/>
      <c r="I19" s="425">
        <v>0.02</v>
      </c>
      <c r="J19" s="774"/>
    </row>
    <row r="20" spans="1:10" ht="41.25" hidden="1" customHeight="1" thickBot="1">
      <c r="A20" s="1307" t="s">
        <v>205</v>
      </c>
      <c r="B20" s="1308"/>
      <c r="C20" s="1310"/>
      <c r="D20" s="1309">
        <f>C12-SUM(D12:E19)</f>
        <v>-25225040.487499997</v>
      </c>
      <c r="E20" s="1309"/>
      <c r="F20" s="297">
        <f>D20/C12</f>
        <v>-0.31091679802803257</v>
      </c>
      <c r="G20" s="302"/>
      <c r="H20" s="774"/>
      <c r="J20" s="774"/>
    </row>
    <row r="21" spans="1:10" ht="41.25" customHeight="1" thickBot="1">
      <c r="A21" s="1311" t="s">
        <v>211</v>
      </c>
      <c r="B21" s="1312"/>
      <c r="C21" s="295">
        <f>C12</f>
        <v>81131160</v>
      </c>
      <c r="D21" s="1313">
        <f>C21</f>
        <v>81131160</v>
      </c>
      <c r="E21" s="1313"/>
      <c r="F21" s="298">
        <f>D21/C21</f>
        <v>1</v>
      </c>
      <c r="G21" s="303"/>
      <c r="H21" s="774"/>
      <c r="I21" s="424">
        <f>SUM(I12:I20)</f>
        <v>1</v>
      </c>
      <c r="J21" s="774"/>
    </row>
    <row r="22" spans="1:10" ht="23.25" customHeight="1">
      <c r="H22" s="774"/>
      <c r="I22" s="774"/>
      <c r="J22" s="774"/>
    </row>
  </sheetData>
  <mergeCells count="30">
    <mergeCell ref="D17:E17"/>
    <mergeCell ref="A13:B13"/>
    <mergeCell ref="A15:B15"/>
    <mergeCell ref="A1:G1"/>
    <mergeCell ref="A9:G9"/>
    <mergeCell ref="D11:E11"/>
    <mergeCell ref="D12:E12"/>
    <mergeCell ref="D13:E13"/>
    <mergeCell ref="A2:G2"/>
    <mergeCell ref="B4:D4"/>
    <mergeCell ref="E4:G4"/>
    <mergeCell ref="B7:D7"/>
    <mergeCell ref="E7:G7"/>
    <mergeCell ref="A11:B11"/>
    <mergeCell ref="A20:B20"/>
    <mergeCell ref="D20:E20"/>
    <mergeCell ref="C12:C20"/>
    <mergeCell ref="A21:B21"/>
    <mergeCell ref="D21:E21"/>
    <mergeCell ref="D19:E19"/>
    <mergeCell ref="A14:B14"/>
    <mergeCell ref="A12:B12"/>
    <mergeCell ref="A19:B19"/>
    <mergeCell ref="A16:B16"/>
    <mergeCell ref="A17:B17"/>
    <mergeCell ref="A18:B18"/>
    <mergeCell ref="D15:E15"/>
    <mergeCell ref="D14:E14"/>
    <mergeCell ref="D18:E18"/>
    <mergeCell ref="D16:E16"/>
  </mergeCells>
  <phoneticPr fontId="2" type="noConversion"/>
  <pageMargins left="0.19" right="0.2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7" workbookViewId="0">
      <selection activeCell="O20" sqref="O20"/>
    </sheetView>
  </sheetViews>
  <sheetFormatPr defaultRowHeight="13.5"/>
  <cols>
    <col min="2" max="2" width="25.5546875" customWidth="1"/>
    <col min="12" max="12" width="9" customWidth="1"/>
    <col min="13" max="13" width="3.6640625" customWidth="1"/>
  </cols>
  <sheetData>
    <row r="1" spans="1:14" ht="13.5" customHeight="1">
      <c r="A1" s="1342" t="str">
        <f>표제!A10</f>
        <v>2020년</v>
      </c>
      <c r="B1" s="1342"/>
      <c r="C1" s="1342"/>
      <c r="D1" s="1343" t="str">
        <f>표제!A42</f>
        <v>YJ주야간보호센터</v>
      </c>
      <c r="E1" s="1343"/>
      <c r="F1" s="1343"/>
      <c r="G1" s="1343" t="s">
        <v>257</v>
      </c>
      <c r="H1" s="1343"/>
      <c r="I1" s="1343"/>
      <c r="J1" s="1343"/>
      <c r="K1" s="1343"/>
      <c r="L1" s="1343"/>
      <c r="M1" s="1"/>
      <c r="N1" s="1"/>
    </row>
    <row r="2" spans="1:14" ht="13.5" customHeight="1">
      <c r="A2" s="1342"/>
      <c r="B2" s="1342"/>
      <c r="C2" s="1342"/>
      <c r="D2" s="1343"/>
      <c r="E2" s="1343"/>
      <c r="F2" s="1343"/>
      <c r="G2" s="1343"/>
      <c r="H2" s="1343"/>
      <c r="I2" s="1343"/>
      <c r="J2" s="1343"/>
      <c r="K2" s="1343"/>
      <c r="L2" s="1343"/>
      <c r="M2" s="1"/>
      <c r="N2" s="1"/>
    </row>
    <row r="3" spans="1:14" ht="16.5" customHeight="1">
      <c r="A3" s="1342"/>
      <c r="B3" s="1342"/>
      <c r="C3" s="1342"/>
      <c r="D3" s="1343"/>
      <c r="E3" s="1343"/>
      <c r="F3" s="1343"/>
      <c r="G3" s="1343"/>
      <c r="H3" s="1343"/>
      <c r="I3" s="1343"/>
      <c r="J3" s="1343"/>
      <c r="K3" s="1343"/>
      <c r="L3" s="1343"/>
      <c r="M3" s="1"/>
      <c r="N3" s="1"/>
    </row>
    <row r="4" spans="1:14" ht="14.25" thickBot="1"/>
    <row r="5" spans="1:14" ht="26.25" customHeight="1">
      <c r="A5" s="1344" t="s">
        <v>256</v>
      </c>
      <c r="B5" s="399" t="s">
        <v>262</v>
      </c>
      <c r="C5" s="1332"/>
      <c r="D5" s="1332"/>
      <c r="E5" s="1332"/>
      <c r="F5" s="1332"/>
      <c r="G5" s="1332"/>
      <c r="H5" s="1332"/>
      <c r="I5" s="1332"/>
      <c r="J5" s="1332"/>
      <c r="K5" s="1332"/>
      <c r="L5" s="1333"/>
      <c r="M5" s="1"/>
      <c r="N5" s="1"/>
    </row>
    <row r="6" spans="1:14" ht="26.25" customHeight="1">
      <c r="A6" s="1345"/>
      <c r="B6" s="400" t="s">
        <v>263</v>
      </c>
      <c r="C6" s="1334"/>
      <c r="D6" s="1335"/>
      <c r="E6" s="1335"/>
      <c r="F6" s="1335"/>
      <c r="G6" s="1335"/>
      <c r="H6" s="1335"/>
      <c r="I6" s="1335"/>
      <c r="J6" s="1335"/>
      <c r="K6" s="1335"/>
      <c r="L6" s="1336"/>
      <c r="M6" s="1"/>
      <c r="N6" s="1"/>
    </row>
    <row r="7" spans="1:14" ht="26.25" customHeight="1">
      <c r="A7" s="1345"/>
      <c r="B7" s="400" t="s">
        <v>264</v>
      </c>
      <c r="C7" s="1337"/>
      <c r="D7" s="1337"/>
      <c r="E7" s="1337"/>
      <c r="F7" s="1337"/>
      <c r="G7" s="1337"/>
      <c r="H7" s="1337"/>
      <c r="I7" s="1337"/>
      <c r="J7" s="1337"/>
      <c r="K7" s="1337"/>
      <c r="L7" s="1338"/>
      <c r="M7" s="1"/>
      <c r="N7" s="1"/>
    </row>
    <row r="8" spans="1:14" ht="26.25" customHeight="1" thickBot="1">
      <c r="A8" s="1346"/>
      <c r="B8" s="401" t="s">
        <v>265</v>
      </c>
      <c r="C8" s="1339"/>
      <c r="D8" s="1340"/>
      <c r="E8" s="1340"/>
      <c r="F8" s="1340"/>
      <c r="G8" s="1340"/>
      <c r="H8" s="1340"/>
      <c r="I8" s="1340"/>
      <c r="J8" s="1340"/>
      <c r="K8" s="1340"/>
      <c r="L8" s="1341"/>
      <c r="M8" s="1"/>
      <c r="N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39" ht="19.5" customHeight="1"/>
  </sheetData>
  <mergeCells count="9">
    <mergeCell ref="C5:L5"/>
    <mergeCell ref="C6:L6"/>
    <mergeCell ref="C7:L7"/>
    <mergeCell ref="C8:L8"/>
    <mergeCell ref="A1:C3"/>
    <mergeCell ref="D1:F3"/>
    <mergeCell ref="A5:A8"/>
    <mergeCell ref="G1:I3"/>
    <mergeCell ref="J1:L3"/>
  </mergeCells>
  <phoneticPr fontId="2" type="noConversion"/>
  <pageMargins left="0.28999999999999998" right="0.19" top="0.27" bottom="0.13" header="0.31496062992125984" footer="0.16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13</vt:i4>
      </vt:variant>
    </vt:vector>
  </HeadingPairs>
  <TitlesOfParts>
    <vt:vector size="24" baseType="lpstr">
      <vt:lpstr>표제</vt:lpstr>
      <vt:lpstr>예산총칙</vt:lpstr>
      <vt:lpstr>총괄표</vt:lpstr>
      <vt:lpstr>보수일람표</vt:lpstr>
      <vt:lpstr>세입예산서</vt:lpstr>
      <vt:lpstr>세출예산서</vt:lpstr>
      <vt:lpstr>추경예산총괄표</vt:lpstr>
      <vt:lpstr>추경세입예산서</vt:lpstr>
      <vt:lpstr>추경세출예산서 </vt:lpstr>
      <vt:lpstr>포트폴리오</vt:lpstr>
      <vt:lpstr>보고서</vt:lpstr>
      <vt:lpstr>보고서!Print_Area</vt:lpstr>
      <vt:lpstr>보수일람표!Print_Area</vt:lpstr>
      <vt:lpstr>세입예산서!Print_Area</vt:lpstr>
      <vt:lpstr>세출예산서!Print_Area</vt:lpstr>
      <vt:lpstr>총괄표!Print_Area</vt:lpstr>
      <vt:lpstr>추경세입예산서!Print_Area</vt:lpstr>
      <vt:lpstr>'추경세출예산서 '!Print_Area</vt:lpstr>
      <vt:lpstr>포트폴리오!Print_Area</vt:lpstr>
      <vt:lpstr>세입예산서!Print_Titles</vt:lpstr>
      <vt:lpstr>세출예산서!Print_Titles</vt:lpstr>
      <vt:lpstr>추경세입예산서!Print_Titles</vt:lpstr>
      <vt:lpstr>'추경세출예산서 '!Print_Titles</vt:lpstr>
      <vt:lpstr>추경예산총괄표!Print_Titles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보육나라</dc:creator>
  <cp:lastModifiedBy>M</cp:lastModifiedBy>
  <cp:lastPrinted>2020-08-17T02:16:45Z</cp:lastPrinted>
  <dcterms:created xsi:type="dcterms:W3CDTF">2005-11-11T07:18:33Z</dcterms:created>
  <dcterms:modified xsi:type="dcterms:W3CDTF">2020-08-17T02:24:41Z</dcterms:modified>
</cp:coreProperties>
</file>