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14130"/>
  </bookViews>
  <sheets>
    <sheet name="수가" sheetId="1" r:id="rId1"/>
    <sheet name="이용료안내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44" i="1" l="1"/>
  <c r="H44" i="1"/>
  <c r="I44" i="1"/>
  <c r="F44" i="1"/>
  <c r="H43" i="1"/>
  <c r="G43" i="1"/>
  <c r="F43" i="1"/>
  <c r="H41" i="1"/>
  <c r="G41" i="1"/>
  <c r="F41" i="1"/>
  <c r="H39" i="1"/>
  <c r="G39" i="1"/>
  <c r="F39" i="1"/>
  <c r="H37" i="1"/>
  <c r="G37" i="1"/>
  <c r="F37" i="1"/>
  <c r="G36" i="1"/>
  <c r="H36" i="1"/>
  <c r="I36" i="1"/>
  <c r="F36" i="1"/>
  <c r="H35" i="1"/>
  <c r="G35" i="1"/>
  <c r="F35" i="1"/>
  <c r="G34" i="1"/>
  <c r="H34" i="1"/>
  <c r="I34" i="1"/>
  <c r="F34" i="1"/>
  <c r="H33" i="1"/>
  <c r="G33" i="1"/>
  <c r="F33" i="1"/>
  <c r="G32" i="1"/>
  <c r="H32" i="1"/>
  <c r="I32" i="1"/>
  <c r="F32" i="1"/>
  <c r="H31" i="1"/>
  <c r="G31" i="1"/>
  <c r="F31" i="1"/>
  <c r="G30" i="1"/>
  <c r="H30" i="1"/>
  <c r="I30" i="1"/>
  <c r="F30" i="1"/>
  <c r="H29" i="1"/>
  <c r="G29" i="1"/>
  <c r="F29" i="1"/>
  <c r="I28" i="1"/>
  <c r="G28" i="1"/>
  <c r="H27" i="1"/>
  <c r="H28" i="1" s="1"/>
  <c r="G27" i="1"/>
  <c r="F27" i="1"/>
  <c r="F28" i="1" s="1"/>
  <c r="G26" i="1"/>
  <c r="H26" i="1"/>
  <c r="I26" i="1"/>
  <c r="F26" i="1"/>
  <c r="H25" i="1"/>
  <c r="G25" i="1"/>
  <c r="F25" i="1"/>
  <c r="G24" i="1"/>
  <c r="H24" i="1"/>
  <c r="I24" i="1"/>
  <c r="F24" i="1"/>
  <c r="H23" i="1"/>
  <c r="G23" i="1"/>
  <c r="F23" i="1"/>
  <c r="G22" i="1"/>
  <c r="H22" i="1"/>
  <c r="I22" i="1"/>
  <c r="F22" i="1"/>
  <c r="H21" i="1"/>
  <c r="G21" i="1"/>
  <c r="F21" i="1"/>
  <c r="I20" i="1"/>
  <c r="G20" i="1"/>
  <c r="H19" i="1"/>
  <c r="H20" i="1" s="1"/>
  <c r="G19" i="1"/>
  <c r="F19" i="1"/>
  <c r="F20" i="1" s="1"/>
  <c r="G18" i="1"/>
  <c r="H18" i="1"/>
  <c r="I18" i="1"/>
  <c r="F18" i="1"/>
  <c r="H17" i="1"/>
  <c r="G17" i="1"/>
  <c r="F17" i="1"/>
  <c r="G16" i="1"/>
  <c r="H16" i="1"/>
  <c r="I16" i="1"/>
  <c r="F16" i="1"/>
  <c r="H15" i="1"/>
  <c r="G15" i="1"/>
  <c r="F15" i="1"/>
  <c r="G14" i="1"/>
  <c r="H14" i="1"/>
  <c r="I14" i="1"/>
  <c r="F14" i="1"/>
  <c r="H13" i="1"/>
  <c r="G13" i="1"/>
  <c r="F13" i="1"/>
  <c r="G12" i="1"/>
  <c r="H12" i="1"/>
  <c r="I12" i="1"/>
  <c r="F12" i="1"/>
  <c r="H11" i="1"/>
  <c r="G11" i="1"/>
  <c r="F11" i="1"/>
  <c r="G10" i="1"/>
  <c r="H10" i="1"/>
  <c r="I10" i="1"/>
  <c r="F10" i="1"/>
  <c r="H9" i="1"/>
  <c r="G9" i="1"/>
  <c r="F9" i="1"/>
  <c r="G8" i="1"/>
  <c r="H8" i="1"/>
  <c r="I8" i="1"/>
  <c r="F8" i="1"/>
  <c r="H7" i="1"/>
  <c r="G7" i="1"/>
  <c r="F7" i="1"/>
  <c r="G6" i="1"/>
  <c r="H6" i="1"/>
  <c r="I6" i="1"/>
  <c r="F6" i="1"/>
  <c r="H5" i="1"/>
  <c r="G5" i="1"/>
  <c r="F5" i="1"/>
  <c r="M34" i="2"/>
  <c r="J34" i="2"/>
  <c r="G34" i="2"/>
  <c r="F34" i="2"/>
  <c r="M32" i="2"/>
  <c r="J32" i="2"/>
  <c r="G32" i="2"/>
  <c r="F32" i="2"/>
  <c r="M28" i="2"/>
  <c r="J28" i="2"/>
  <c r="G28" i="2"/>
  <c r="F28" i="2"/>
  <c r="M26" i="2"/>
  <c r="J26" i="2"/>
  <c r="G26" i="2"/>
  <c r="F26" i="2"/>
  <c r="M22" i="2"/>
  <c r="J22" i="2"/>
  <c r="G22" i="2"/>
  <c r="F22" i="2"/>
  <c r="M20" i="2"/>
  <c r="J20" i="2"/>
  <c r="G20" i="2"/>
  <c r="F20" i="2"/>
  <c r="M35" i="2"/>
  <c r="J35" i="2"/>
  <c r="G35" i="2"/>
  <c r="F35" i="2"/>
  <c r="M29" i="2"/>
  <c r="J29" i="2"/>
  <c r="G29" i="2"/>
  <c r="F29" i="2"/>
  <c r="M23" i="2"/>
  <c r="J23" i="2"/>
  <c r="G23" i="2"/>
  <c r="F23" i="2"/>
  <c r="M17" i="2"/>
  <c r="J17" i="2"/>
  <c r="G17" i="2"/>
  <c r="F17" i="2"/>
  <c r="M37" i="2"/>
  <c r="J37" i="2"/>
  <c r="G37" i="2"/>
  <c r="F37" i="2"/>
  <c r="M31" i="2"/>
  <c r="J31" i="2"/>
  <c r="G31" i="2"/>
  <c r="F31" i="2"/>
  <c r="M25" i="2"/>
  <c r="J25" i="2"/>
  <c r="G25" i="2"/>
  <c r="F25" i="2"/>
  <c r="M19" i="2"/>
  <c r="J19" i="2"/>
  <c r="G19" i="2"/>
  <c r="F19" i="2"/>
</calcChain>
</file>

<file path=xl/sharedStrings.xml><?xml version="1.0" encoding="utf-8"?>
<sst xmlns="http://schemas.openxmlformats.org/spreadsheetml/2006/main" count="132" uniqueCount="54">
  <si>
    <t>2019년 노인장기요양보험(주야간보호)수가</t>
    <phoneticPr fontId="1" type="noConversion"/>
  </si>
  <si>
    <t>보호시간</t>
    <phoneticPr fontId="1" type="noConversion"/>
  </si>
  <si>
    <t>등급</t>
    <phoneticPr fontId="1" type="noConversion"/>
  </si>
  <si>
    <t>본인부담</t>
    <phoneticPr fontId="1" type="noConversion"/>
  </si>
  <si>
    <t>비급여</t>
    <phoneticPr fontId="1" type="noConversion"/>
  </si>
  <si>
    <t>계</t>
    <phoneticPr fontId="1" type="noConversion"/>
  </si>
  <si>
    <t>일반(15%)</t>
    <phoneticPr fontId="1" type="noConversion"/>
  </si>
  <si>
    <t>감경(9%)</t>
    <phoneticPr fontId="1" type="noConversion"/>
  </si>
  <si>
    <t>감경(6%)</t>
    <phoneticPr fontId="1" type="noConversion"/>
  </si>
  <si>
    <t>기초(0%)</t>
    <phoneticPr fontId="1" type="noConversion"/>
  </si>
  <si>
    <t>식대,간식비</t>
    <phoneticPr fontId="1" type="noConversion"/>
  </si>
  <si>
    <t>3등급</t>
    <phoneticPr fontId="1" type="noConversion"/>
  </si>
  <si>
    <t>4등급</t>
    <phoneticPr fontId="1" type="noConversion"/>
  </si>
  <si>
    <t>5등급</t>
    <phoneticPr fontId="1" type="noConversion"/>
  </si>
  <si>
    <t>인지등급</t>
    <phoneticPr fontId="1" type="noConversion"/>
  </si>
  <si>
    <t>3시간이상~
6시간 미만</t>
    <phoneticPr fontId="1" type="noConversion"/>
  </si>
  <si>
    <t>6시간이상~
8시간 미만</t>
    <phoneticPr fontId="1" type="noConversion"/>
  </si>
  <si>
    <t>8시간이상~
10시간 미만</t>
    <phoneticPr fontId="1" type="noConversion"/>
  </si>
  <si>
    <t>10시간이상~
12시간 미만</t>
    <phoneticPr fontId="1" type="noConversion"/>
  </si>
  <si>
    <t>12시간 이상</t>
    <phoneticPr fontId="1" type="noConversion"/>
  </si>
  <si>
    <t>1개월(20일)</t>
    <phoneticPr fontId="1" type="noConversion"/>
  </si>
  <si>
    <t>1일</t>
    <phoneticPr fontId="1" type="noConversion"/>
  </si>
  <si>
    <t>1일</t>
    <phoneticPr fontId="1" type="noConversion"/>
  </si>
  <si>
    <t>주. 야간보호센터 이용료 안내</t>
    <phoneticPr fontId="1" type="noConversion"/>
  </si>
  <si>
    <t>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</si>
  <si>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</si>
  <si>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</si>
  <si>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</si>
  <si>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5등급</t>
    <phoneticPr fontId="1" type="noConversion"/>
  </si>
  <si>
    <t>월한도액</t>
    <phoneticPr fontId="1" type="noConversion"/>
  </si>
  <si>
    <t>이용시간 구분</t>
    <phoneticPr fontId="1" type="noConversion"/>
  </si>
  <si>
    <t>비급여 항목(1일)</t>
    <phoneticPr fontId="1" type="noConversion"/>
  </si>
  <si>
    <t>(주간) 8시간~10시간 미만</t>
    <phoneticPr fontId="1" type="noConversion"/>
  </si>
  <si>
    <t>(야간)10시간 이상~12시간 미만</t>
    <phoneticPr fontId="1" type="noConversion"/>
  </si>
  <si>
    <t>중식비3,500+간식비1,500=5000원</t>
    <phoneticPr fontId="1" type="noConversion"/>
  </si>
  <si>
    <t>석식비 3,500</t>
    <phoneticPr fontId="1" type="noConversion"/>
  </si>
  <si>
    <t>이용료내역</t>
    <phoneticPr fontId="1" type="noConversion"/>
  </si>
  <si>
    <t>등급</t>
    <phoneticPr fontId="1" type="noConversion"/>
  </si>
  <si>
    <t>이용구분</t>
    <phoneticPr fontId="1" type="noConversion"/>
  </si>
  <si>
    <t>주간</t>
    <phoneticPr fontId="1" type="noConversion"/>
  </si>
  <si>
    <t>야간</t>
    <phoneticPr fontId="1" type="noConversion"/>
  </si>
  <si>
    <t>본인부담금</t>
    <phoneticPr fontId="1" type="noConversion"/>
  </si>
  <si>
    <t>중식+간식비</t>
    <phoneticPr fontId="1" type="noConversion"/>
  </si>
  <si>
    <t>계</t>
    <phoneticPr fontId="1" type="noConversion"/>
  </si>
  <si>
    <t>이 용 일 수</t>
    <phoneticPr fontId="1" type="noConversion"/>
  </si>
  <si>
    <t>5등급</t>
    <phoneticPr fontId="1" type="noConversion"/>
  </si>
  <si>
    <t>인지지원
등급</t>
    <phoneticPr fontId="1" type="noConversion"/>
  </si>
  <si>
    <t>20일</t>
    <phoneticPr fontId="1" type="noConversion"/>
  </si>
  <si>
    <t>21일</t>
    <phoneticPr fontId="1" type="noConversion"/>
  </si>
  <si>
    <t>22일</t>
    <phoneticPr fontId="1" type="noConversion"/>
  </si>
  <si>
    <t>23일</t>
    <phoneticPr fontId="1" type="noConversion"/>
  </si>
  <si>
    <t>중식+간식비+석식</t>
    <phoneticPr fontId="1" type="noConversion"/>
  </si>
  <si>
    <t>1일수가
(8시간이상~10시간미만)</t>
    <phoneticPr fontId="1" type="noConversion"/>
  </si>
  <si>
    <r>
      <t xml:space="preserve">
19일 </t>
    </r>
    <r>
      <rPr>
        <sz val="11"/>
        <color theme="1"/>
        <rFont val="맑은 고딕"/>
        <family val="3"/>
        <charset val="129"/>
        <scheme val="minor"/>
      </rPr>
      <t xml:space="preserve"> 이</t>
    </r>
    <r>
      <rPr>
        <sz val="11"/>
        <color theme="1"/>
        <rFont val="맑은 고딕"/>
        <family val="2"/>
        <charset val="129"/>
        <scheme val="minor"/>
      </rPr>
      <t>용  :  본인부담금138,681+161,500(중식+간식+석식:1일 8,500*19일) = 300,181원
(3등급기준)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</si>
</sst>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41" fontId="0" fillId="0" borderId="11" xfId="1" applyNumberFormat="1" applyFont="1" applyBorder="1" applyAlignment="1">
      <alignment horizontal="center" vertical="center"/>
    </xf>
    <xf numFmtId="41" fontId="0" fillId="0" borderId="12" xfId="1" applyNumberFormat="1" applyFont="1" applyBorder="1" applyAlignment="1">
      <alignment horizontal="center" vertical="center"/>
    </xf>
    <xf numFmtId="43" fontId="0" fillId="0" borderId="10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41" fontId="0" fillId="0" borderId="21" xfId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41" fontId="0" fillId="4" borderId="21" xfId="1" applyFont="1" applyFill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41" fontId="4" fillId="2" borderId="21" xfId="1" applyFont="1" applyFill="1" applyBorder="1" applyAlignment="1">
      <alignment horizontal="center" vertical="center"/>
    </xf>
    <xf numFmtId="41" fontId="4" fillId="0" borderId="2" xfId="1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4" fillId="0" borderId="21" xfId="1" applyFont="1" applyBorder="1" applyAlignment="1">
      <alignment horizontal="center" vertical="center"/>
    </xf>
    <xf numFmtId="41" fontId="4" fillId="0" borderId="25" xfId="1" applyFont="1" applyBorder="1" applyAlignment="1">
      <alignment horizontal="center" vertical="center"/>
    </xf>
    <xf numFmtId="41" fontId="4" fillId="0" borderId="24" xfId="1" applyFont="1" applyBorder="1" applyAlignment="1">
      <alignment horizontal="center" vertical="center"/>
    </xf>
    <xf numFmtId="41" fontId="4" fillId="0" borderId="26" xfId="1" applyFont="1" applyBorder="1" applyAlignment="1">
      <alignment horizontal="center" vertical="center"/>
    </xf>
    <xf numFmtId="41" fontId="4" fillId="0" borderId="27" xfId="1" applyFont="1" applyBorder="1" applyAlignment="1">
      <alignment horizontal="center" vertical="center"/>
    </xf>
    <xf numFmtId="41" fontId="4" fillId="0" borderId="28" xfId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41" fontId="4" fillId="0" borderId="6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41" fontId="0" fillId="2" borderId="1" xfId="1" applyFont="1" applyFill="1" applyBorder="1">
      <alignment vertical="center"/>
    </xf>
    <xf numFmtId="41" fontId="0" fillId="4" borderId="1" xfId="1" applyFont="1" applyFill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view="pageLayout" zoomScaleNormal="100" workbookViewId="0">
      <selection activeCell="A5" sqref="A5:C12"/>
    </sheetView>
  </sheetViews>
  <sheetFormatPr defaultRowHeight="16.5" x14ac:dyDescent="0.3"/>
  <cols>
    <col min="1" max="1" width="4.875" customWidth="1"/>
    <col min="3" max="3" width="3.25" customWidth="1"/>
    <col min="4" max="4" width="8" customWidth="1"/>
    <col min="5" max="5" width="12.125" customWidth="1"/>
    <col min="6" max="6" width="9.5" customWidth="1"/>
    <col min="7" max="7" width="8.75" customWidth="1"/>
    <col min="8" max="8" width="8.625" customWidth="1"/>
    <col min="9" max="9" width="8.25" customWidth="1"/>
    <col min="10" max="10" width="11.75" customWidth="1"/>
    <col min="11" max="11" width="10.75" customWidth="1"/>
    <col min="12" max="12" width="6.875" customWidth="1"/>
  </cols>
  <sheetData>
    <row r="1" spans="1:10" ht="9.75" customHeight="1" x14ac:dyDescent="0.3">
      <c r="A1" s="130" t="s">
        <v>0</v>
      </c>
      <c r="B1" s="131"/>
      <c r="C1" s="131"/>
      <c r="D1" s="131"/>
      <c r="E1" s="131"/>
      <c r="F1" s="131"/>
      <c r="G1" s="131"/>
      <c r="H1" s="131"/>
      <c r="I1" s="131"/>
      <c r="J1" s="132"/>
    </row>
    <row r="2" spans="1:10" ht="19.5" customHeight="1" x14ac:dyDescent="0.3">
      <c r="A2" s="133"/>
      <c r="B2" s="134"/>
      <c r="C2" s="134"/>
      <c r="D2" s="134"/>
      <c r="E2" s="134"/>
      <c r="F2" s="134"/>
      <c r="G2" s="134"/>
      <c r="H2" s="134"/>
      <c r="I2" s="134"/>
      <c r="J2" s="135"/>
    </row>
    <row r="3" spans="1:10" x14ac:dyDescent="0.3">
      <c r="A3" s="31" t="s">
        <v>1</v>
      </c>
      <c r="B3" s="32"/>
      <c r="C3" s="33"/>
      <c r="D3" s="37" t="s">
        <v>2</v>
      </c>
      <c r="E3" s="39" t="s">
        <v>3</v>
      </c>
      <c r="F3" s="40"/>
      <c r="G3" s="40"/>
      <c r="H3" s="40"/>
      <c r="I3" s="41"/>
      <c r="J3" s="3" t="s">
        <v>4</v>
      </c>
    </row>
    <row r="4" spans="1:10" x14ac:dyDescent="0.3">
      <c r="A4" s="34"/>
      <c r="B4" s="35"/>
      <c r="C4" s="36"/>
      <c r="D4" s="38"/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3">
      <c r="A5" s="11" t="s">
        <v>15</v>
      </c>
      <c r="B5" s="12"/>
      <c r="C5" s="13"/>
      <c r="D5" s="29" t="s">
        <v>11</v>
      </c>
      <c r="E5" s="1" t="s">
        <v>20</v>
      </c>
      <c r="F5" s="6">
        <f>29160*20*15/100</f>
        <v>87480</v>
      </c>
      <c r="G5" s="6">
        <f>29160*20*9/100</f>
        <v>52488</v>
      </c>
      <c r="H5" s="6">
        <f>29160*20*6/100</f>
        <v>34992</v>
      </c>
      <c r="I5" s="6">
        <v>0</v>
      </c>
      <c r="J5" s="6">
        <v>100000</v>
      </c>
    </row>
    <row r="6" spans="1:10" x14ac:dyDescent="0.3">
      <c r="A6" s="14"/>
      <c r="B6" s="15"/>
      <c r="C6" s="16"/>
      <c r="D6" s="30"/>
      <c r="E6" s="1" t="s">
        <v>21</v>
      </c>
      <c r="F6" s="6">
        <f>F5/20</f>
        <v>4374</v>
      </c>
      <c r="G6" s="6">
        <f t="shared" ref="G6:I6" si="0">G5/20</f>
        <v>2624.4</v>
      </c>
      <c r="H6" s="6">
        <f t="shared" si="0"/>
        <v>1749.6</v>
      </c>
      <c r="I6" s="6">
        <f t="shared" si="0"/>
        <v>0</v>
      </c>
      <c r="J6" s="6">
        <v>5000</v>
      </c>
    </row>
    <row r="7" spans="1:10" x14ac:dyDescent="0.3">
      <c r="A7" s="14"/>
      <c r="B7" s="15"/>
      <c r="C7" s="16"/>
      <c r="D7" s="29" t="s">
        <v>12</v>
      </c>
      <c r="E7" s="1" t="s">
        <v>20</v>
      </c>
      <c r="F7" s="6">
        <f>27830*20*15/100</f>
        <v>83490</v>
      </c>
      <c r="G7" s="6">
        <f>27830*20*9/100</f>
        <v>50094</v>
      </c>
      <c r="H7" s="6">
        <f>27830*20*6/100</f>
        <v>33396</v>
      </c>
      <c r="I7" s="6">
        <v>0</v>
      </c>
      <c r="J7" s="6"/>
    </row>
    <row r="8" spans="1:10" x14ac:dyDescent="0.3">
      <c r="A8" s="14"/>
      <c r="B8" s="15"/>
      <c r="C8" s="16"/>
      <c r="D8" s="30"/>
      <c r="E8" s="1" t="s">
        <v>21</v>
      </c>
      <c r="F8" s="6">
        <f>F7/20</f>
        <v>4174.5</v>
      </c>
      <c r="G8" s="6">
        <f t="shared" ref="G8:I8" si="1">G7/20</f>
        <v>2504.6999999999998</v>
      </c>
      <c r="H8" s="6">
        <f t="shared" si="1"/>
        <v>1669.8</v>
      </c>
      <c r="I8" s="6">
        <f t="shared" si="1"/>
        <v>0</v>
      </c>
      <c r="J8" s="6"/>
    </row>
    <row r="9" spans="1:10" x14ac:dyDescent="0.3">
      <c r="A9" s="14"/>
      <c r="B9" s="15"/>
      <c r="C9" s="16"/>
      <c r="D9" s="29" t="s">
        <v>13</v>
      </c>
      <c r="E9" s="1" t="s">
        <v>20</v>
      </c>
      <c r="F9" s="6">
        <f>26500*20*15/100</f>
        <v>79500</v>
      </c>
      <c r="G9" s="6">
        <f>26500*20*9/100</f>
        <v>47700</v>
      </c>
      <c r="H9" s="6">
        <f>26500*20*6/100</f>
        <v>31800</v>
      </c>
      <c r="I9" s="6">
        <v>0</v>
      </c>
      <c r="J9" s="6"/>
    </row>
    <row r="10" spans="1:10" x14ac:dyDescent="0.3">
      <c r="A10" s="14"/>
      <c r="B10" s="15"/>
      <c r="C10" s="16"/>
      <c r="D10" s="30"/>
      <c r="E10" s="1" t="s">
        <v>21</v>
      </c>
      <c r="F10" s="6">
        <f>F9/20</f>
        <v>3975</v>
      </c>
      <c r="G10" s="6">
        <f t="shared" ref="G10:I10" si="2">G9/20</f>
        <v>2385</v>
      </c>
      <c r="H10" s="6">
        <f t="shared" si="2"/>
        <v>1590</v>
      </c>
      <c r="I10" s="6">
        <f t="shared" si="2"/>
        <v>0</v>
      </c>
      <c r="J10" s="6"/>
    </row>
    <row r="11" spans="1:10" x14ac:dyDescent="0.3">
      <c r="A11" s="14"/>
      <c r="B11" s="15"/>
      <c r="C11" s="16"/>
      <c r="D11" s="29" t="s">
        <v>14</v>
      </c>
      <c r="E11" s="1" t="s">
        <v>20</v>
      </c>
      <c r="F11" s="6">
        <f>26500*20*15/100</f>
        <v>79500</v>
      </c>
      <c r="G11" s="6">
        <f>26500*20*9/100</f>
        <v>47700</v>
      </c>
      <c r="H11" s="6">
        <f>26500*20*6/100</f>
        <v>31800</v>
      </c>
      <c r="I11" s="6">
        <v>0</v>
      </c>
      <c r="J11" s="6"/>
    </row>
    <row r="12" spans="1:10" x14ac:dyDescent="0.3">
      <c r="A12" s="17"/>
      <c r="B12" s="18"/>
      <c r="C12" s="19"/>
      <c r="D12" s="30"/>
      <c r="E12" s="1" t="s">
        <v>21</v>
      </c>
      <c r="F12" s="6">
        <f>F11/20</f>
        <v>3975</v>
      </c>
      <c r="G12" s="6">
        <f t="shared" ref="G12:I12" si="3">G11/20</f>
        <v>2385</v>
      </c>
      <c r="H12" s="6">
        <f t="shared" si="3"/>
        <v>1590</v>
      </c>
      <c r="I12" s="6">
        <f t="shared" si="3"/>
        <v>0</v>
      </c>
      <c r="J12" s="6"/>
    </row>
    <row r="13" spans="1:10" x14ac:dyDescent="0.3">
      <c r="A13" s="11" t="s">
        <v>16</v>
      </c>
      <c r="B13" s="12"/>
      <c r="C13" s="13"/>
      <c r="D13" s="29" t="s">
        <v>11</v>
      </c>
      <c r="E13" s="1" t="s">
        <v>20</v>
      </c>
      <c r="F13" s="6">
        <f>39110*20*15/100</f>
        <v>117330</v>
      </c>
      <c r="G13" s="6">
        <f>39110*20*9/100</f>
        <v>70398</v>
      </c>
      <c r="H13" s="6">
        <f>39110*20*6/100</f>
        <v>46932</v>
      </c>
      <c r="I13" s="6">
        <v>0</v>
      </c>
      <c r="J13" s="6"/>
    </row>
    <row r="14" spans="1:10" x14ac:dyDescent="0.3">
      <c r="A14" s="14"/>
      <c r="B14" s="15"/>
      <c r="C14" s="16"/>
      <c r="D14" s="30"/>
      <c r="E14" s="1" t="s">
        <v>21</v>
      </c>
      <c r="F14" s="6">
        <f>F13/20</f>
        <v>5866.5</v>
      </c>
      <c r="G14" s="6">
        <f t="shared" ref="G14:I14" si="4">G13/20</f>
        <v>3519.9</v>
      </c>
      <c r="H14" s="6">
        <f t="shared" si="4"/>
        <v>2346.6</v>
      </c>
      <c r="I14" s="6">
        <f t="shared" si="4"/>
        <v>0</v>
      </c>
      <c r="J14" s="6"/>
    </row>
    <row r="15" spans="1:10" x14ac:dyDescent="0.3">
      <c r="A15" s="14"/>
      <c r="B15" s="15"/>
      <c r="C15" s="16"/>
      <c r="D15" s="29" t="s">
        <v>12</v>
      </c>
      <c r="E15" s="1" t="s">
        <v>20</v>
      </c>
      <c r="F15" s="6">
        <f>37780*20*15/100</f>
        <v>113340</v>
      </c>
      <c r="G15" s="6">
        <f>37780*20*9/100</f>
        <v>68004</v>
      </c>
      <c r="H15" s="6">
        <f>37780*20*6/100</f>
        <v>45336</v>
      </c>
      <c r="I15" s="6">
        <v>0</v>
      </c>
      <c r="J15" s="6"/>
    </row>
    <row r="16" spans="1:10" x14ac:dyDescent="0.3">
      <c r="A16" s="14"/>
      <c r="B16" s="15"/>
      <c r="C16" s="16"/>
      <c r="D16" s="30"/>
      <c r="E16" s="1" t="s">
        <v>21</v>
      </c>
      <c r="F16" s="6">
        <f>F15/20</f>
        <v>5667</v>
      </c>
      <c r="G16" s="6">
        <f t="shared" ref="G16:I16" si="5">G15/20</f>
        <v>3400.2</v>
      </c>
      <c r="H16" s="6">
        <f t="shared" si="5"/>
        <v>2266.8000000000002</v>
      </c>
      <c r="I16" s="6">
        <f t="shared" si="5"/>
        <v>0</v>
      </c>
      <c r="J16" s="6"/>
    </row>
    <row r="17" spans="1:10" x14ac:dyDescent="0.3">
      <c r="A17" s="14"/>
      <c r="B17" s="15"/>
      <c r="C17" s="16"/>
      <c r="D17" s="29" t="s">
        <v>13</v>
      </c>
      <c r="E17" s="1" t="s">
        <v>20</v>
      </c>
      <c r="F17" s="6">
        <f>36440*20*15/100</f>
        <v>109320</v>
      </c>
      <c r="G17" s="6">
        <f>36440*20*9/100</f>
        <v>65592</v>
      </c>
      <c r="H17" s="6">
        <f>36440*20*6/100</f>
        <v>43728</v>
      </c>
      <c r="I17" s="6">
        <v>0</v>
      </c>
      <c r="J17" s="6"/>
    </row>
    <row r="18" spans="1:10" x14ac:dyDescent="0.3">
      <c r="A18" s="14"/>
      <c r="B18" s="15"/>
      <c r="C18" s="16"/>
      <c r="D18" s="30"/>
      <c r="E18" s="1" t="s">
        <v>21</v>
      </c>
      <c r="F18" s="6">
        <f>F17/20</f>
        <v>5466</v>
      </c>
      <c r="G18" s="6">
        <f t="shared" ref="G18:I18" si="6">G17/20</f>
        <v>3279.6</v>
      </c>
      <c r="H18" s="6">
        <f t="shared" si="6"/>
        <v>2186.4</v>
      </c>
      <c r="I18" s="6">
        <f t="shared" si="6"/>
        <v>0</v>
      </c>
      <c r="J18" s="6"/>
    </row>
    <row r="19" spans="1:10" x14ac:dyDescent="0.3">
      <c r="A19" s="14"/>
      <c r="B19" s="15"/>
      <c r="C19" s="16"/>
      <c r="D19" s="29" t="s">
        <v>14</v>
      </c>
      <c r="E19" s="1" t="s">
        <v>20</v>
      </c>
      <c r="F19" s="6">
        <f>36440*20*15/100</f>
        <v>109320</v>
      </c>
      <c r="G19" s="6">
        <f>36440*20*9/100</f>
        <v>65592</v>
      </c>
      <c r="H19" s="6">
        <f>36440*20*6/100</f>
        <v>43728</v>
      </c>
      <c r="I19" s="6">
        <v>0</v>
      </c>
      <c r="J19" s="6"/>
    </row>
    <row r="20" spans="1:10" x14ac:dyDescent="0.3">
      <c r="A20" s="17"/>
      <c r="B20" s="18"/>
      <c r="C20" s="19"/>
      <c r="D20" s="30"/>
      <c r="E20" s="1" t="s">
        <v>21</v>
      </c>
      <c r="F20" s="6">
        <f>F19/20</f>
        <v>5466</v>
      </c>
      <c r="G20" s="6">
        <f t="shared" ref="G20" si="7">G19/20</f>
        <v>3279.6</v>
      </c>
      <c r="H20" s="6">
        <f t="shared" ref="H20" si="8">H19/20</f>
        <v>2186.4</v>
      </c>
      <c r="I20" s="6">
        <f t="shared" ref="I20" si="9">I19/20</f>
        <v>0</v>
      </c>
      <c r="J20" s="6"/>
    </row>
    <row r="21" spans="1:10" x14ac:dyDescent="0.3">
      <c r="A21" s="20" t="s">
        <v>17</v>
      </c>
      <c r="B21" s="21"/>
      <c r="C21" s="22"/>
      <c r="D21" s="9" t="s">
        <v>11</v>
      </c>
      <c r="E21" s="115" t="s">
        <v>20</v>
      </c>
      <c r="F21" s="128">
        <f>48660*20*15/100</f>
        <v>145980</v>
      </c>
      <c r="G21" s="128">
        <f>48660*20*9/100</f>
        <v>87588</v>
      </c>
      <c r="H21" s="128">
        <f>48660*20*6/100</f>
        <v>58392</v>
      </c>
      <c r="I21" s="128">
        <v>0</v>
      </c>
      <c r="J21" s="128"/>
    </row>
    <row r="22" spans="1:10" x14ac:dyDescent="0.3">
      <c r="A22" s="23"/>
      <c r="B22" s="24"/>
      <c r="C22" s="25"/>
      <c r="D22" s="10"/>
      <c r="E22" s="115" t="s">
        <v>21</v>
      </c>
      <c r="F22" s="128">
        <f>F21/20</f>
        <v>7299</v>
      </c>
      <c r="G22" s="128">
        <f t="shared" ref="G22:I22" si="10">G21/20</f>
        <v>4379.3999999999996</v>
      </c>
      <c r="H22" s="128">
        <f t="shared" si="10"/>
        <v>2919.6</v>
      </c>
      <c r="I22" s="128">
        <f t="shared" si="10"/>
        <v>0</v>
      </c>
      <c r="J22" s="128"/>
    </row>
    <row r="23" spans="1:10" x14ac:dyDescent="0.3">
      <c r="A23" s="23"/>
      <c r="B23" s="24"/>
      <c r="C23" s="25"/>
      <c r="D23" s="9" t="s">
        <v>12</v>
      </c>
      <c r="E23" s="115" t="s">
        <v>20</v>
      </c>
      <c r="F23" s="128">
        <f>47330*20*15/100</f>
        <v>141990</v>
      </c>
      <c r="G23" s="128">
        <f>47330*20*9/100</f>
        <v>85194</v>
      </c>
      <c r="H23" s="128">
        <f>47330*20*6/100</f>
        <v>56796</v>
      </c>
      <c r="I23" s="128">
        <v>0</v>
      </c>
      <c r="J23" s="128"/>
    </row>
    <row r="24" spans="1:10" x14ac:dyDescent="0.3">
      <c r="A24" s="23"/>
      <c r="B24" s="24"/>
      <c r="C24" s="25"/>
      <c r="D24" s="10"/>
      <c r="E24" s="115" t="s">
        <v>21</v>
      </c>
      <c r="F24" s="128">
        <f>F23/20</f>
        <v>7099.5</v>
      </c>
      <c r="G24" s="128">
        <f t="shared" ref="G24:I24" si="11">G23/20</f>
        <v>4259.7</v>
      </c>
      <c r="H24" s="128">
        <f t="shared" si="11"/>
        <v>2839.8</v>
      </c>
      <c r="I24" s="128">
        <f t="shared" si="11"/>
        <v>0</v>
      </c>
      <c r="J24" s="128"/>
    </row>
    <row r="25" spans="1:10" x14ac:dyDescent="0.3">
      <c r="A25" s="23"/>
      <c r="B25" s="24"/>
      <c r="C25" s="25"/>
      <c r="D25" s="9" t="s">
        <v>13</v>
      </c>
      <c r="E25" s="115" t="s">
        <v>20</v>
      </c>
      <c r="F25" s="128">
        <f>45980*20*15/100</f>
        <v>137940</v>
      </c>
      <c r="G25" s="128">
        <f>45980*20*9/100</f>
        <v>82764</v>
      </c>
      <c r="H25" s="128">
        <f>45980*20*6/100</f>
        <v>55176</v>
      </c>
      <c r="I25" s="128">
        <v>0</v>
      </c>
      <c r="J25" s="128"/>
    </row>
    <row r="26" spans="1:10" x14ac:dyDescent="0.3">
      <c r="A26" s="23"/>
      <c r="B26" s="24"/>
      <c r="C26" s="25"/>
      <c r="D26" s="10"/>
      <c r="E26" s="115" t="s">
        <v>21</v>
      </c>
      <c r="F26" s="128">
        <f>F25/20</f>
        <v>6897</v>
      </c>
      <c r="G26" s="128">
        <f t="shared" ref="G26:I26" si="12">G25/20</f>
        <v>4138.2</v>
      </c>
      <c r="H26" s="128">
        <f t="shared" si="12"/>
        <v>2758.8</v>
      </c>
      <c r="I26" s="128">
        <f t="shared" si="12"/>
        <v>0</v>
      </c>
      <c r="J26" s="128"/>
    </row>
    <row r="27" spans="1:10" x14ac:dyDescent="0.3">
      <c r="A27" s="23"/>
      <c r="B27" s="24"/>
      <c r="C27" s="25"/>
      <c r="D27" s="9" t="s">
        <v>14</v>
      </c>
      <c r="E27" s="115" t="s">
        <v>20</v>
      </c>
      <c r="F27" s="128">
        <f>45980*20*15/100</f>
        <v>137940</v>
      </c>
      <c r="G27" s="128">
        <f>45980*20*9/100</f>
        <v>82764</v>
      </c>
      <c r="H27" s="128">
        <f>45980*20*6/100</f>
        <v>55176</v>
      </c>
      <c r="I27" s="128">
        <v>0</v>
      </c>
      <c r="J27" s="128"/>
    </row>
    <row r="28" spans="1:10" x14ac:dyDescent="0.3">
      <c r="A28" s="26"/>
      <c r="B28" s="27"/>
      <c r="C28" s="28"/>
      <c r="D28" s="10"/>
      <c r="E28" s="115" t="s">
        <v>21</v>
      </c>
      <c r="F28" s="128">
        <f>F27/20</f>
        <v>6897</v>
      </c>
      <c r="G28" s="128">
        <f t="shared" ref="G28" si="13">G27/20</f>
        <v>4138.2</v>
      </c>
      <c r="H28" s="128">
        <f t="shared" ref="H28" si="14">H27/20</f>
        <v>2758.8</v>
      </c>
      <c r="I28" s="128">
        <f t="shared" ref="I28" si="15">I27/20</f>
        <v>0</v>
      </c>
      <c r="J28" s="128"/>
    </row>
    <row r="29" spans="1:10" x14ac:dyDescent="0.3">
      <c r="A29" s="116" t="s">
        <v>18</v>
      </c>
      <c r="B29" s="117"/>
      <c r="C29" s="118"/>
      <c r="D29" s="119" t="s">
        <v>11</v>
      </c>
      <c r="E29" s="120" t="s">
        <v>20</v>
      </c>
      <c r="F29" s="129">
        <f>53640*20*15/100</f>
        <v>160920</v>
      </c>
      <c r="G29" s="129">
        <f>53640*20*9/100</f>
        <v>96552</v>
      </c>
      <c r="H29" s="129">
        <f>53640*20*6/100</f>
        <v>64368</v>
      </c>
      <c r="I29" s="129">
        <v>0</v>
      </c>
      <c r="J29" s="129"/>
    </row>
    <row r="30" spans="1:10" x14ac:dyDescent="0.3">
      <c r="A30" s="121"/>
      <c r="B30" s="122"/>
      <c r="C30" s="123"/>
      <c r="D30" s="124"/>
      <c r="E30" s="120" t="s">
        <v>21</v>
      </c>
      <c r="F30" s="129">
        <f>F29/20</f>
        <v>8046</v>
      </c>
      <c r="G30" s="129">
        <f t="shared" ref="G30:I30" si="16">G29/20</f>
        <v>4827.6000000000004</v>
      </c>
      <c r="H30" s="129">
        <f t="shared" si="16"/>
        <v>3218.4</v>
      </c>
      <c r="I30" s="129">
        <f t="shared" si="16"/>
        <v>0</v>
      </c>
      <c r="J30" s="129"/>
    </row>
    <row r="31" spans="1:10" x14ac:dyDescent="0.3">
      <c r="A31" s="121"/>
      <c r="B31" s="122"/>
      <c r="C31" s="123"/>
      <c r="D31" s="119" t="s">
        <v>12</v>
      </c>
      <c r="E31" s="120" t="s">
        <v>20</v>
      </c>
      <c r="F31" s="129">
        <f>52290*20*15/100</f>
        <v>156870</v>
      </c>
      <c r="G31" s="129">
        <f>52290*20*9/100</f>
        <v>94122</v>
      </c>
      <c r="H31" s="129">
        <f>52290*20*6/100</f>
        <v>62748</v>
      </c>
      <c r="I31" s="129">
        <v>0</v>
      </c>
      <c r="J31" s="129"/>
    </row>
    <row r="32" spans="1:10" x14ac:dyDescent="0.3">
      <c r="A32" s="121"/>
      <c r="B32" s="122"/>
      <c r="C32" s="123"/>
      <c r="D32" s="124"/>
      <c r="E32" s="120" t="s">
        <v>21</v>
      </c>
      <c r="F32" s="129">
        <f>F31/20</f>
        <v>7843.5</v>
      </c>
      <c r="G32" s="129">
        <f t="shared" ref="G32:I32" si="17">G31/20</f>
        <v>4706.1000000000004</v>
      </c>
      <c r="H32" s="129">
        <f t="shared" si="17"/>
        <v>3137.4</v>
      </c>
      <c r="I32" s="129">
        <f t="shared" si="17"/>
        <v>0</v>
      </c>
      <c r="J32" s="129"/>
    </row>
    <row r="33" spans="1:10" x14ac:dyDescent="0.3">
      <c r="A33" s="121"/>
      <c r="B33" s="122"/>
      <c r="C33" s="123"/>
      <c r="D33" s="119" t="s">
        <v>13</v>
      </c>
      <c r="E33" s="120" t="s">
        <v>20</v>
      </c>
      <c r="F33" s="129">
        <f>50960*20*15/100</f>
        <v>152880</v>
      </c>
      <c r="G33" s="129">
        <f>50960*20*9/100</f>
        <v>91728</v>
      </c>
      <c r="H33" s="129">
        <f>50960*20*6/100</f>
        <v>61152</v>
      </c>
      <c r="I33" s="129">
        <v>0</v>
      </c>
      <c r="J33" s="129"/>
    </row>
    <row r="34" spans="1:10" x14ac:dyDescent="0.3">
      <c r="A34" s="121"/>
      <c r="B34" s="122"/>
      <c r="C34" s="123"/>
      <c r="D34" s="124"/>
      <c r="E34" s="120" t="s">
        <v>21</v>
      </c>
      <c r="F34" s="129">
        <f>F33/20</f>
        <v>7644</v>
      </c>
      <c r="G34" s="129">
        <f t="shared" ref="G34:I34" si="18">G33/20</f>
        <v>4586.3999999999996</v>
      </c>
      <c r="H34" s="129">
        <f t="shared" si="18"/>
        <v>3057.6</v>
      </c>
      <c r="I34" s="129">
        <f t="shared" si="18"/>
        <v>0</v>
      </c>
      <c r="J34" s="129"/>
    </row>
    <row r="35" spans="1:10" x14ac:dyDescent="0.3">
      <c r="A35" s="121"/>
      <c r="B35" s="122"/>
      <c r="C35" s="123"/>
      <c r="D35" s="119" t="s">
        <v>14</v>
      </c>
      <c r="E35" s="120" t="s">
        <v>20</v>
      </c>
      <c r="F35" s="129">
        <f>45980*20*15/100</f>
        <v>137940</v>
      </c>
      <c r="G35" s="129">
        <f>45980*20*9/100</f>
        <v>82764</v>
      </c>
      <c r="H35" s="129">
        <f>45980*20*6/100</f>
        <v>55176</v>
      </c>
      <c r="I35" s="129">
        <v>0</v>
      </c>
      <c r="J35" s="129"/>
    </row>
    <row r="36" spans="1:10" x14ac:dyDescent="0.3">
      <c r="A36" s="125"/>
      <c r="B36" s="126"/>
      <c r="C36" s="127"/>
      <c r="D36" s="124"/>
      <c r="E36" s="120" t="s">
        <v>21</v>
      </c>
      <c r="F36" s="129">
        <f>F35/20</f>
        <v>6897</v>
      </c>
      <c r="G36" s="129">
        <f t="shared" ref="G36:I36" si="19">G35/20</f>
        <v>4138.2</v>
      </c>
      <c r="H36" s="129">
        <f t="shared" si="19"/>
        <v>2758.8</v>
      </c>
      <c r="I36" s="129">
        <f t="shared" si="19"/>
        <v>0</v>
      </c>
      <c r="J36" s="129"/>
    </row>
    <row r="37" spans="1:10" x14ac:dyDescent="0.3">
      <c r="A37" s="8" t="s">
        <v>19</v>
      </c>
      <c r="B37" s="8"/>
      <c r="C37" s="8"/>
      <c r="D37" s="8" t="s">
        <v>11</v>
      </c>
      <c r="E37" s="1" t="s">
        <v>20</v>
      </c>
      <c r="F37" s="6">
        <f>57520*20*15/100</f>
        <v>172560</v>
      </c>
      <c r="G37" s="6">
        <f>57520*20*9/100</f>
        <v>103536</v>
      </c>
      <c r="H37" s="6">
        <f>57520*20*6/100</f>
        <v>69024</v>
      </c>
      <c r="I37" s="6">
        <v>0</v>
      </c>
      <c r="J37" s="6"/>
    </row>
    <row r="38" spans="1:10" x14ac:dyDescent="0.3">
      <c r="A38" s="8"/>
      <c r="B38" s="8"/>
      <c r="C38" s="8"/>
      <c r="D38" s="8"/>
      <c r="E38" s="1" t="s">
        <v>21</v>
      </c>
      <c r="F38" s="6">
        <v>8628</v>
      </c>
      <c r="G38" s="6">
        <v>5177</v>
      </c>
      <c r="H38" s="6">
        <v>3451</v>
      </c>
      <c r="I38" s="6">
        <v>0</v>
      </c>
      <c r="J38" s="6"/>
    </row>
    <row r="39" spans="1:10" x14ac:dyDescent="0.3">
      <c r="A39" s="8"/>
      <c r="B39" s="8"/>
      <c r="C39" s="8"/>
      <c r="D39" s="8" t="s">
        <v>12</v>
      </c>
      <c r="E39" s="1" t="s">
        <v>20</v>
      </c>
      <c r="F39" s="6">
        <f>56190*20*15/100</f>
        <v>168570</v>
      </c>
      <c r="G39" s="6">
        <f>56190*20*9/100</f>
        <v>101142</v>
      </c>
      <c r="H39" s="6">
        <f>56190*20*6/100</f>
        <v>67428</v>
      </c>
      <c r="I39" s="6">
        <v>0</v>
      </c>
      <c r="J39" s="6"/>
    </row>
    <row r="40" spans="1:10" x14ac:dyDescent="0.3">
      <c r="A40" s="8"/>
      <c r="B40" s="8"/>
      <c r="C40" s="8"/>
      <c r="D40" s="8"/>
      <c r="E40" s="1" t="s">
        <v>21</v>
      </c>
      <c r="F40" s="6">
        <v>8429</v>
      </c>
      <c r="G40" s="6">
        <v>5057</v>
      </c>
      <c r="H40" s="6">
        <v>3371</v>
      </c>
      <c r="I40" s="6">
        <v>0</v>
      </c>
      <c r="J40" s="6"/>
    </row>
    <row r="41" spans="1:10" x14ac:dyDescent="0.3">
      <c r="A41" s="8"/>
      <c r="B41" s="8"/>
      <c r="C41" s="8"/>
      <c r="D41" s="8" t="s">
        <v>13</v>
      </c>
      <c r="E41" s="1" t="s">
        <v>20</v>
      </c>
      <c r="F41" s="6">
        <f>54850*20*15/100</f>
        <v>164550</v>
      </c>
      <c r="G41" s="6">
        <f>54850*20*9/100</f>
        <v>98730</v>
      </c>
      <c r="H41" s="6">
        <f>54850*20*6/100</f>
        <v>65820</v>
      </c>
      <c r="I41" s="6">
        <v>0</v>
      </c>
      <c r="J41" s="6"/>
    </row>
    <row r="42" spans="1:10" x14ac:dyDescent="0.3">
      <c r="A42" s="8"/>
      <c r="B42" s="8"/>
      <c r="C42" s="8"/>
      <c r="D42" s="8"/>
      <c r="E42" s="1" t="s">
        <v>21</v>
      </c>
      <c r="F42" s="6">
        <v>8228</v>
      </c>
      <c r="G42" s="6">
        <v>4937</v>
      </c>
      <c r="H42" s="6">
        <v>3291</v>
      </c>
      <c r="I42" s="6">
        <v>0</v>
      </c>
      <c r="J42" s="6"/>
    </row>
    <row r="43" spans="1:10" x14ac:dyDescent="0.3">
      <c r="A43" s="8"/>
      <c r="B43" s="8"/>
      <c r="C43" s="8"/>
      <c r="D43" s="8" t="s">
        <v>14</v>
      </c>
      <c r="E43" s="1" t="s">
        <v>20</v>
      </c>
      <c r="F43" s="6">
        <f>45980*20*15/100</f>
        <v>137940</v>
      </c>
      <c r="G43" s="6">
        <f>45980*20*9/100</f>
        <v>82764</v>
      </c>
      <c r="H43" s="6">
        <f>45980*20*6/100</f>
        <v>55176</v>
      </c>
      <c r="I43" s="6">
        <v>0</v>
      </c>
      <c r="J43" s="6"/>
    </row>
    <row r="44" spans="1:10" x14ac:dyDescent="0.3">
      <c r="A44" s="8"/>
      <c r="B44" s="8"/>
      <c r="C44" s="8"/>
      <c r="D44" s="8"/>
      <c r="E44" s="1" t="s">
        <v>22</v>
      </c>
      <c r="F44" s="6">
        <f>F43/20</f>
        <v>6897</v>
      </c>
      <c r="G44" s="6">
        <f t="shared" ref="G44:I44" si="20">G43/20</f>
        <v>4138.2</v>
      </c>
      <c r="H44" s="6">
        <f t="shared" si="20"/>
        <v>2758.8</v>
      </c>
      <c r="I44" s="6">
        <f t="shared" si="20"/>
        <v>0</v>
      </c>
      <c r="J44" s="6"/>
    </row>
    <row r="45" spans="1:10" x14ac:dyDescent="0.3">
      <c r="E45" s="2"/>
    </row>
  </sheetData>
  <mergeCells count="29">
    <mergeCell ref="D9:D10"/>
    <mergeCell ref="D11:D12"/>
    <mergeCell ref="D13:D14"/>
    <mergeCell ref="D15:D16"/>
    <mergeCell ref="A1:J2"/>
    <mergeCell ref="A3:C4"/>
    <mergeCell ref="D3:D4"/>
    <mergeCell ref="E3:I3"/>
    <mergeCell ref="D29:D30"/>
    <mergeCell ref="D31:D32"/>
    <mergeCell ref="D33:D34"/>
    <mergeCell ref="D35:D36"/>
    <mergeCell ref="A5:C12"/>
    <mergeCell ref="A13:C20"/>
    <mergeCell ref="A21:C28"/>
    <mergeCell ref="A29:C36"/>
    <mergeCell ref="D17:D18"/>
    <mergeCell ref="D19:D20"/>
    <mergeCell ref="D21:D22"/>
    <mergeCell ref="D23:D24"/>
    <mergeCell ref="D25:D26"/>
    <mergeCell ref="D27:D28"/>
    <mergeCell ref="D5:D6"/>
    <mergeCell ref="D7:D8"/>
    <mergeCell ref="D37:D38"/>
    <mergeCell ref="D39:D40"/>
    <mergeCell ref="D41:D42"/>
    <mergeCell ref="D43:D44"/>
    <mergeCell ref="A37:C44"/>
  </mergeCells>
  <phoneticPr fontId="1" type="noConversion"/>
  <pageMargins left="0.48958333333333331" right="0.48958333333333331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8"/>
  <sheetViews>
    <sheetView showWhiteSpace="0" view="pageLayout" zoomScaleNormal="100" workbookViewId="0">
      <selection activeCell="Q22" sqref="Q22"/>
    </sheetView>
  </sheetViews>
  <sheetFormatPr defaultRowHeight="16.5" x14ac:dyDescent="0.3"/>
  <cols>
    <col min="2" max="2" width="12.375" customWidth="1"/>
    <col min="3" max="3" width="6.25" customWidth="1"/>
    <col min="4" max="4" width="8" customWidth="1"/>
    <col min="5" max="5" width="3.75" customWidth="1"/>
    <col min="6" max="6" width="10.875" customWidth="1"/>
    <col min="7" max="7" width="5.5" customWidth="1"/>
    <col min="8" max="8" width="3.875" customWidth="1"/>
    <col min="9" max="9" width="2.5" customWidth="1"/>
    <col min="10" max="10" width="5.125" customWidth="1"/>
    <col min="11" max="11" width="3.125" customWidth="1"/>
    <col min="12" max="12" width="2.75" customWidth="1"/>
    <col min="13" max="13" width="11" customWidth="1"/>
    <col min="14" max="14" width="4.875" customWidth="1"/>
    <col min="15" max="15" width="6.5" customWidth="1"/>
  </cols>
  <sheetData>
    <row r="1" spans="1:13" x14ac:dyDescent="0.3">
      <c r="A1" s="53" t="s">
        <v>23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30.75" customHeight="1" thickBot="1" x14ac:dyDescent="0.3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x14ac:dyDescent="0.3">
      <c r="A3" s="66" t="s">
        <v>24</v>
      </c>
      <c r="B3" s="67"/>
      <c r="C3" s="68" t="s">
        <v>25</v>
      </c>
      <c r="D3" s="68"/>
      <c r="E3" s="68" t="s">
        <v>26</v>
      </c>
      <c r="F3" s="68"/>
      <c r="G3" s="68" t="s">
        <v>27</v>
      </c>
      <c r="H3" s="68"/>
      <c r="I3" s="68"/>
      <c r="J3" s="68" t="s">
        <v>45</v>
      </c>
      <c r="K3" s="68"/>
      <c r="L3" s="68"/>
      <c r="M3" s="69" t="s">
        <v>46</v>
      </c>
    </row>
    <row r="4" spans="1:13" x14ac:dyDescent="0.3">
      <c r="A4" s="70"/>
      <c r="B4" s="65"/>
      <c r="C4" s="64"/>
      <c r="D4" s="64"/>
      <c r="E4" s="64"/>
      <c r="F4" s="64"/>
      <c r="G4" s="64"/>
      <c r="H4" s="64"/>
      <c r="I4" s="64"/>
      <c r="J4" s="64"/>
      <c r="K4" s="64"/>
      <c r="L4" s="64"/>
      <c r="M4" s="71"/>
    </row>
    <row r="5" spans="1:13" x14ac:dyDescent="0.3">
      <c r="A5" s="108" t="s">
        <v>29</v>
      </c>
      <c r="B5" s="63"/>
      <c r="C5" s="98">
        <v>1294600</v>
      </c>
      <c r="D5" s="99"/>
      <c r="E5" s="98">
        <v>1240700</v>
      </c>
      <c r="F5" s="99"/>
      <c r="G5" s="98">
        <v>1142400</v>
      </c>
      <c r="H5" s="100"/>
      <c r="I5" s="99"/>
      <c r="J5" s="101">
        <v>980800</v>
      </c>
      <c r="K5" s="101"/>
      <c r="L5" s="101"/>
      <c r="M5" s="102">
        <v>551800</v>
      </c>
    </row>
    <row r="6" spans="1:13" x14ac:dyDescent="0.3">
      <c r="A6" s="70"/>
      <c r="B6" s="65"/>
      <c r="C6" s="112"/>
      <c r="D6" s="113"/>
      <c r="E6" s="112"/>
      <c r="F6" s="113"/>
      <c r="G6" s="112"/>
      <c r="H6" s="114"/>
      <c r="I6" s="113"/>
      <c r="J6" s="101"/>
      <c r="K6" s="101"/>
      <c r="L6" s="101"/>
      <c r="M6" s="102"/>
    </row>
    <row r="7" spans="1:13" x14ac:dyDescent="0.3">
      <c r="A7" s="109" t="s">
        <v>52</v>
      </c>
      <c r="B7" s="63"/>
      <c r="C7" s="98">
        <v>52710</v>
      </c>
      <c r="D7" s="99"/>
      <c r="E7" s="98">
        <v>48660</v>
      </c>
      <c r="F7" s="99"/>
      <c r="G7" s="98">
        <v>47330</v>
      </c>
      <c r="H7" s="100"/>
      <c r="I7" s="99"/>
      <c r="J7" s="101">
        <v>45980</v>
      </c>
      <c r="K7" s="101"/>
      <c r="L7" s="101"/>
      <c r="M7" s="102">
        <v>45980</v>
      </c>
    </row>
    <row r="8" spans="1:13" ht="17.25" thickBot="1" x14ac:dyDescent="0.35">
      <c r="A8" s="110"/>
      <c r="B8" s="111"/>
      <c r="C8" s="103"/>
      <c r="D8" s="104"/>
      <c r="E8" s="103"/>
      <c r="F8" s="104"/>
      <c r="G8" s="103"/>
      <c r="H8" s="105"/>
      <c r="I8" s="104"/>
      <c r="J8" s="106"/>
      <c r="K8" s="106"/>
      <c r="L8" s="106"/>
      <c r="M8" s="107"/>
    </row>
    <row r="9" spans="1:13" ht="3.75" customHeight="1" x14ac:dyDescent="0.3"/>
    <row r="10" spans="1:13" x14ac:dyDescent="0.3">
      <c r="A10" s="42" t="s">
        <v>30</v>
      </c>
      <c r="B10" s="13"/>
      <c r="C10" s="42" t="s">
        <v>32</v>
      </c>
      <c r="D10" s="12"/>
      <c r="E10" s="12"/>
      <c r="F10" s="13"/>
      <c r="G10" s="42" t="s">
        <v>33</v>
      </c>
      <c r="H10" s="12"/>
      <c r="I10" s="12"/>
      <c r="J10" s="12"/>
      <c r="K10" s="12"/>
      <c r="L10" s="12"/>
      <c r="M10" s="13"/>
    </row>
    <row r="11" spans="1:13" x14ac:dyDescent="0.3">
      <c r="A11" s="17"/>
      <c r="B11" s="19"/>
      <c r="C11" s="17"/>
      <c r="D11" s="18"/>
      <c r="E11" s="18"/>
      <c r="F11" s="19"/>
      <c r="G11" s="17"/>
      <c r="H11" s="18"/>
      <c r="I11" s="18"/>
      <c r="J11" s="18"/>
      <c r="K11" s="18"/>
      <c r="L11" s="18"/>
      <c r="M11" s="19"/>
    </row>
    <row r="12" spans="1:13" x14ac:dyDescent="0.3">
      <c r="A12" s="42" t="s">
        <v>31</v>
      </c>
      <c r="B12" s="13"/>
      <c r="C12" s="42" t="s">
        <v>34</v>
      </c>
      <c r="D12" s="12"/>
      <c r="E12" s="12"/>
      <c r="F12" s="13"/>
      <c r="G12" s="42" t="s">
        <v>35</v>
      </c>
      <c r="H12" s="12"/>
      <c r="I12" s="12"/>
      <c r="J12" s="12"/>
      <c r="K12" s="12"/>
      <c r="L12" s="12"/>
      <c r="M12" s="13"/>
    </row>
    <row r="13" spans="1:13" x14ac:dyDescent="0.3">
      <c r="A13" s="17"/>
      <c r="B13" s="19"/>
      <c r="C13" s="17"/>
      <c r="D13" s="18"/>
      <c r="E13" s="18"/>
      <c r="F13" s="19"/>
      <c r="G13" s="17"/>
      <c r="H13" s="18"/>
      <c r="I13" s="18"/>
      <c r="J13" s="18"/>
      <c r="K13" s="18"/>
      <c r="L13" s="18"/>
      <c r="M13" s="19"/>
    </row>
    <row r="14" spans="1:13" ht="4.5" customHeight="1" thickBot="1" x14ac:dyDescent="0.35"/>
    <row r="15" spans="1:13" ht="19.5" customHeight="1" x14ac:dyDescent="0.3">
      <c r="A15" s="75" t="s">
        <v>37</v>
      </c>
      <c r="B15" s="76" t="s">
        <v>38</v>
      </c>
      <c r="C15" s="73" t="s">
        <v>36</v>
      </c>
      <c r="D15" s="74"/>
      <c r="E15" s="72"/>
      <c r="F15" s="77" t="s">
        <v>44</v>
      </c>
      <c r="G15" s="78"/>
      <c r="H15" s="78"/>
      <c r="I15" s="78"/>
      <c r="J15" s="78"/>
      <c r="K15" s="78"/>
      <c r="L15" s="78"/>
      <c r="M15" s="79"/>
    </row>
    <row r="16" spans="1:13" ht="19.5" customHeight="1" x14ac:dyDescent="0.3">
      <c r="A16" s="80"/>
      <c r="B16" s="30"/>
      <c r="C16" s="17"/>
      <c r="D16" s="18"/>
      <c r="E16" s="19"/>
      <c r="F16" s="7" t="s">
        <v>47</v>
      </c>
      <c r="G16" s="8" t="s">
        <v>48</v>
      </c>
      <c r="H16" s="8"/>
      <c r="I16" s="8"/>
      <c r="J16" s="8" t="s">
        <v>49</v>
      </c>
      <c r="K16" s="8"/>
      <c r="L16" s="8"/>
      <c r="M16" s="81" t="s">
        <v>50</v>
      </c>
    </row>
    <row r="17" spans="1:13" ht="19.5" customHeight="1" x14ac:dyDescent="0.3">
      <c r="A17" s="82" t="s">
        <v>25</v>
      </c>
      <c r="B17" s="29" t="s">
        <v>39</v>
      </c>
      <c r="C17" s="43" t="s">
        <v>41</v>
      </c>
      <c r="D17" s="45"/>
      <c r="E17" s="44"/>
      <c r="F17" s="49">
        <f>C7*20*15/100</f>
        <v>158130</v>
      </c>
      <c r="G17" s="52">
        <f>C7*21*15/100</f>
        <v>166036.5</v>
      </c>
      <c r="H17" s="50"/>
      <c r="I17" s="51"/>
      <c r="J17" s="47">
        <f>C7*22*15/100</f>
        <v>173943</v>
      </c>
      <c r="K17" s="47"/>
      <c r="L17" s="47"/>
      <c r="M17" s="83">
        <f>C7*23*15/100</f>
        <v>181849.5</v>
      </c>
    </row>
    <row r="18" spans="1:13" ht="19.5" customHeight="1" x14ac:dyDescent="0.3">
      <c r="A18" s="84"/>
      <c r="B18" s="46"/>
      <c r="C18" s="43" t="s">
        <v>42</v>
      </c>
      <c r="D18" s="45"/>
      <c r="E18" s="44"/>
      <c r="F18" s="48">
        <v>100000</v>
      </c>
      <c r="G18" s="47">
        <v>105000</v>
      </c>
      <c r="H18" s="47"/>
      <c r="I18" s="47"/>
      <c r="J18" s="47">
        <v>110000</v>
      </c>
      <c r="K18" s="47"/>
      <c r="L18" s="47"/>
      <c r="M18" s="83">
        <v>115000</v>
      </c>
    </row>
    <row r="19" spans="1:13" ht="19.5" customHeight="1" x14ac:dyDescent="0.3">
      <c r="A19" s="84"/>
      <c r="B19" s="30"/>
      <c r="C19" s="92" t="s">
        <v>43</v>
      </c>
      <c r="D19" s="93"/>
      <c r="E19" s="94"/>
      <c r="F19" s="95">
        <f>F17+F18</f>
        <v>258130</v>
      </c>
      <c r="G19" s="96">
        <f>G17+G18</f>
        <v>271036.5</v>
      </c>
      <c r="H19" s="96"/>
      <c r="I19" s="96"/>
      <c r="J19" s="96">
        <f>J17+J18</f>
        <v>283943</v>
      </c>
      <c r="K19" s="96"/>
      <c r="L19" s="96"/>
      <c r="M19" s="97">
        <f>M17+M18</f>
        <v>296849.5</v>
      </c>
    </row>
    <row r="20" spans="1:13" ht="19.5" customHeight="1" x14ac:dyDescent="0.3">
      <c r="A20" s="84"/>
      <c r="B20" s="29" t="s">
        <v>40</v>
      </c>
      <c r="C20" s="43" t="s">
        <v>41</v>
      </c>
      <c r="D20" s="45"/>
      <c r="E20" s="44"/>
      <c r="F20" s="48">
        <f>58060*20*15/100</f>
        <v>174180</v>
      </c>
      <c r="G20" s="47">
        <f>58060*21*15/100</f>
        <v>182889</v>
      </c>
      <c r="H20" s="47"/>
      <c r="I20" s="47"/>
      <c r="J20" s="47">
        <f>58060*22*15/100</f>
        <v>191598</v>
      </c>
      <c r="K20" s="47"/>
      <c r="L20" s="47"/>
      <c r="M20" s="83">
        <f>58060*23*15/100</f>
        <v>200307</v>
      </c>
    </row>
    <row r="21" spans="1:13" ht="19.5" customHeight="1" x14ac:dyDescent="0.3">
      <c r="A21" s="84"/>
      <c r="B21" s="46"/>
      <c r="C21" s="43" t="s">
        <v>51</v>
      </c>
      <c r="D21" s="45"/>
      <c r="E21" s="44"/>
      <c r="F21" s="48">
        <v>170000</v>
      </c>
      <c r="G21" s="47">
        <v>178500</v>
      </c>
      <c r="H21" s="47"/>
      <c r="I21" s="47"/>
      <c r="J21" s="47">
        <v>187000</v>
      </c>
      <c r="K21" s="47"/>
      <c r="L21" s="47"/>
      <c r="M21" s="83">
        <v>195500</v>
      </c>
    </row>
    <row r="22" spans="1:13" ht="19.5" customHeight="1" x14ac:dyDescent="0.3">
      <c r="A22" s="80"/>
      <c r="B22" s="30"/>
      <c r="C22" s="54" t="s">
        <v>43</v>
      </c>
      <c r="D22" s="55"/>
      <c r="E22" s="56"/>
      <c r="F22" s="57">
        <f>F20+F21</f>
        <v>344180</v>
      </c>
      <c r="G22" s="58">
        <f>G20+G21</f>
        <v>361389</v>
      </c>
      <c r="H22" s="58"/>
      <c r="I22" s="58"/>
      <c r="J22" s="58">
        <f>J20+J21</f>
        <v>378598</v>
      </c>
      <c r="K22" s="58"/>
      <c r="L22" s="58"/>
      <c r="M22" s="85">
        <f>M20+M21</f>
        <v>395807</v>
      </c>
    </row>
    <row r="23" spans="1:13" ht="19.5" customHeight="1" x14ac:dyDescent="0.3">
      <c r="A23" s="82" t="s">
        <v>26</v>
      </c>
      <c r="B23" s="29" t="s">
        <v>39</v>
      </c>
      <c r="C23" s="43" t="s">
        <v>41</v>
      </c>
      <c r="D23" s="45"/>
      <c r="E23" s="44"/>
      <c r="F23" s="48">
        <f>E7*20*15/100</f>
        <v>145980</v>
      </c>
      <c r="G23" s="47">
        <f>E7*21*15/100</f>
        <v>153279</v>
      </c>
      <c r="H23" s="47"/>
      <c r="I23" s="47"/>
      <c r="J23" s="47">
        <f>E7*22*15/100</f>
        <v>160578</v>
      </c>
      <c r="K23" s="47"/>
      <c r="L23" s="47"/>
      <c r="M23" s="83">
        <f>E7*23*15/100</f>
        <v>167877</v>
      </c>
    </row>
    <row r="24" spans="1:13" ht="19.5" customHeight="1" x14ac:dyDescent="0.3">
      <c r="A24" s="84"/>
      <c r="B24" s="46"/>
      <c r="C24" s="43" t="s">
        <v>42</v>
      </c>
      <c r="D24" s="45"/>
      <c r="E24" s="44"/>
      <c r="F24" s="48">
        <v>100000</v>
      </c>
      <c r="G24" s="47">
        <v>105000</v>
      </c>
      <c r="H24" s="47"/>
      <c r="I24" s="47"/>
      <c r="J24" s="47">
        <v>110000</v>
      </c>
      <c r="K24" s="47"/>
      <c r="L24" s="47"/>
      <c r="M24" s="83">
        <v>115000</v>
      </c>
    </row>
    <row r="25" spans="1:13" ht="19.5" customHeight="1" x14ac:dyDescent="0.3">
      <c r="A25" s="84"/>
      <c r="B25" s="30"/>
      <c r="C25" s="92" t="s">
        <v>43</v>
      </c>
      <c r="D25" s="93"/>
      <c r="E25" s="94"/>
      <c r="F25" s="95">
        <f>F23+F24</f>
        <v>245980</v>
      </c>
      <c r="G25" s="96">
        <f>G23+G24</f>
        <v>258279</v>
      </c>
      <c r="H25" s="96"/>
      <c r="I25" s="96"/>
      <c r="J25" s="96">
        <f>J23+J24</f>
        <v>270578</v>
      </c>
      <c r="K25" s="96"/>
      <c r="L25" s="96"/>
      <c r="M25" s="97">
        <f>M23+M24</f>
        <v>282877</v>
      </c>
    </row>
    <row r="26" spans="1:13" ht="19.5" customHeight="1" x14ac:dyDescent="0.3">
      <c r="A26" s="84"/>
      <c r="B26" s="29" t="s">
        <v>40</v>
      </c>
      <c r="C26" s="43" t="s">
        <v>41</v>
      </c>
      <c r="D26" s="45"/>
      <c r="E26" s="44"/>
      <c r="F26" s="48">
        <f>53640*20*15/100</f>
        <v>160920</v>
      </c>
      <c r="G26" s="47">
        <f>53640*21*15/100</f>
        <v>168966</v>
      </c>
      <c r="H26" s="47"/>
      <c r="I26" s="47"/>
      <c r="J26" s="47">
        <f>53640*22*15/100</f>
        <v>177012</v>
      </c>
      <c r="K26" s="47"/>
      <c r="L26" s="47"/>
      <c r="M26" s="83">
        <f>53640*23*15/100</f>
        <v>185058</v>
      </c>
    </row>
    <row r="27" spans="1:13" ht="19.5" customHeight="1" x14ac:dyDescent="0.3">
      <c r="A27" s="84"/>
      <c r="B27" s="46"/>
      <c r="C27" s="43" t="s">
        <v>51</v>
      </c>
      <c r="D27" s="45"/>
      <c r="E27" s="44"/>
      <c r="F27" s="48">
        <v>170000</v>
      </c>
      <c r="G27" s="47">
        <v>178500</v>
      </c>
      <c r="H27" s="47"/>
      <c r="I27" s="47"/>
      <c r="J27" s="47">
        <v>187000</v>
      </c>
      <c r="K27" s="47"/>
      <c r="L27" s="47"/>
      <c r="M27" s="83">
        <v>195500</v>
      </c>
    </row>
    <row r="28" spans="1:13" ht="19.5" customHeight="1" x14ac:dyDescent="0.3">
      <c r="A28" s="80"/>
      <c r="B28" s="30"/>
      <c r="C28" s="54" t="s">
        <v>43</v>
      </c>
      <c r="D28" s="55"/>
      <c r="E28" s="56"/>
      <c r="F28" s="57">
        <f>F26+F27</f>
        <v>330920</v>
      </c>
      <c r="G28" s="58">
        <f>G26+G27</f>
        <v>347466</v>
      </c>
      <c r="H28" s="58"/>
      <c r="I28" s="58"/>
      <c r="J28" s="58">
        <f>J26+J27</f>
        <v>364012</v>
      </c>
      <c r="K28" s="58"/>
      <c r="L28" s="58"/>
      <c r="M28" s="85">
        <f>M26+M27</f>
        <v>380558</v>
      </c>
    </row>
    <row r="29" spans="1:13" ht="19.5" customHeight="1" x14ac:dyDescent="0.3">
      <c r="A29" s="82" t="s">
        <v>27</v>
      </c>
      <c r="B29" s="29" t="s">
        <v>39</v>
      </c>
      <c r="C29" s="43" t="s">
        <v>41</v>
      </c>
      <c r="D29" s="45"/>
      <c r="E29" s="44"/>
      <c r="F29" s="48">
        <f>G7*20*15/100</f>
        <v>141990</v>
      </c>
      <c r="G29" s="47">
        <f>G7*21*15/100</f>
        <v>149089.5</v>
      </c>
      <c r="H29" s="47"/>
      <c r="I29" s="47"/>
      <c r="J29" s="47">
        <f>G7*22*15/100</f>
        <v>156189</v>
      </c>
      <c r="K29" s="47"/>
      <c r="L29" s="47"/>
      <c r="M29" s="83">
        <f>G7*23*15/100</f>
        <v>163288.5</v>
      </c>
    </row>
    <row r="30" spans="1:13" ht="19.5" customHeight="1" x14ac:dyDescent="0.3">
      <c r="A30" s="84"/>
      <c r="B30" s="46"/>
      <c r="C30" s="43" t="s">
        <v>42</v>
      </c>
      <c r="D30" s="45"/>
      <c r="E30" s="44"/>
      <c r="F30" s="48">
        <v>100000</v>
      </c>
      <c r="G30" s="47">
        <v>105000</v>
      </c>
      <c r="H30" s="47"/>
      <c r="I30" s="47"/>
      <c r="J30" s="47">
        <v>110000</v>
      </c>
      <c r="K30" s="47"/>
      <c r="L30" s="47"/>
      <c r="M30" s="83">
        <v>115000</v>
      </c>
    </row>
    <row r="31" spans="1:13" ht="19.5" customHeight="1" x14ac:dyDescent="0.3">
      <c r="A31" s="84"/>
      <c r="B31" s="30"/>
      <c r="C31" s="92" t="s">
        <v>43</v>
      </c>
      <c r="D31" s="93"/>
      <c r="E31" s="94"/>
      <c r="F31" s="95">
        <f>SUM(F29:F30)</f>
        <v>241990</v>
      </c>
      <c r="G31" s="96">
        <f>SUM(G29:I30)</f>
        <v>254089.5</v>
      </c>
      <c r="H31" s="96"/>
      <c r="I31" s="96"/>
      <c r="J31" s="96">
        <f>SUM(J29:L30)</f>
        <v>266189</v>
      </c>
      <c r="K31" s="96"/>
      <c r="L31" s="96"/>
      <c r="M31" s="97">
        <f>SUM(M29:M30)</f>
        <v>278288.5</v>
      </c>
    </row>
    <row r="32" spans="1:13" ht="19.5" customHeight="1" x14ac:dyDescent="0.3">
      <c r="A32" s="84"/>
      <c r="B32" s="29" t="s">
        <v>40</v>
      </c>
      <c r="C32" s="43" t="s">
        <v>41</v>
      </c>
      <c r="D32" s="45"/>
      <c r="E32" s="44"/>
      <c r="F32" s="48">
        <f>52290*20*15/100</f>
        <v>156870</v>
      </c>
      <c r="G32" s="47">
        <f>52290*21*15/100</f>
        <v>164713.5</v>
      </c>
      <c r="H32" s="47"/>
      <c r="I32" s="47"/>
      <c r="J32" s="47">
        <f>52290*22*15/100</f>
        <v>172557</v>
      </c>
      <c r="K32" s="47"/>
      <c r="L32" s="47"/>
      <c r="M32" s="83">
        <f>52290*23*15/100</f>
        <v>180400.5</v>
      </c>
    </row>
    <row r="33" spans="1:13" ht="19.5" customHeight="1" x14ac:dyDescent="0.3">
      <c r="A33" s="84"/>
      <c r="B33" s="46"/>
      <c r="C33" s="43" t="s">
        <v>51</v>
      </c>
      <c r="D33" s="45"/>
      <c r="E33" s="44"/>
      <c r="F33" s="48">
        <v>170000</v>
      </c>
      <c r="G33" s="47">
        <v>178500</v>
      </c>
      <c r="H33" s="47"/>
      <c r="I33" s="47"/>
      <c r="J33" s="47">
        <v>187000</v>
      </c>
      <c r="K33" s="47"/>
      <c r="L33" s="47"/>
      <c r="M33" s="83">
        <v>195500</v>
      </c>
    </row>
    <row r="34" spans="1:13" ht="19.5" customHeight="1" x14ac:dyDescent="0.3">
      <c r="A34" s="80"/>
      <c r="B34" s="30"/>
      <c r="C34" s="54" t="s">
        <v>43</v>
      </c>
      <c r="D34" s="55"/>
      <c r="E34" s="56"/>
      <c r="F34" s="57">
        <f>F32+F33</f>
        <v>326870</v>
      </c>
      <c r="G34" s="58">
        <f>G32+G33</f>
        <v>343213.5</v>
      </c>
      <c r="H34" s="58"/>
      <c r="I34" s="58"/>
      <c r="J34" s="58">
        <f>J32+J33</f>
        <v>359557</v>
      </c>
      <c r="K34" s="58"/>
      <c r="L34" s="58"/>
      <c r="M34" s="85">
        <f>M32+M33</f>
        <v>375900.5</v>
      </c>
    </row>
    <row r="35" spans="1:13" ht="19.5" customHeight="1" x14ac:dyDescent="0.3">
      <c r="A35" s="82" t="s">
        <v>28</v>
      </c>
      <c r="B35" s="8" t="s">
        <v>39</v>
      </c>
      <c r="C35" s="43" t="s">
        <v>41</v>
      </c>
      <c r="D35" s="45"/>
      <c r="E35" s="44"/>
      <c r="F35" s="48">
        <f>J7*20*15/100</f>
        <v>137940</v>
      </c>
      <c r="G35" s="47">
        <f>J7*21*15/100</f>
        <v>144837</v>
      </c>
      <c r="H35" s="47"/>
      <c r="I35" s="47"/>
      <c r="J35" s="47">
        <f>J7*22*15/100</f>
        <v>151734</v>
      </c>
      <c r="K35" s="47"/>
      <c r="L35" s="47"/>
      <c r="M35" s="83">
        <f>J7*23*15/100</f>
        <v>158631</v>
      </c>
    </row>
    <row r="36" spans="1:13" ht="19.5" customHeight="1" x14ac:dyDescent="0.3">
      <c r="A36" s="84"/>
      <c r="B36" s="8"/>
      <c r="C36" s="43" t="s">
        <v>42</v>
      </c>
      <c r="D36" s="45"/>
      <c r="E36" s="44"/>
      <c r="F36" s="48">
        <v>100000</v>
      </c>
      <c r="G36" s="47">
        <v>105000</v>
      </c>
      <c r="H36" s="47"/>
      <c r="I36" s="47"/>
      <c r="J36" s="47">
        <v>110000</v>
      </c>
      <c r="K36" s="47"/>
      <c r="L36" s="47"/>
      <c r="M36" s="83">
        <v>115000</v>
      </c>
    </row>
    <row r="37" spans="1:13" ht="19.5" customHeight="1" x14ac:dyDescent="0.3">
      <c r="A37" s="84"/>
      <c r="B37" s="8"/>
      <c r="C37" s="92" t="s">
        <v>43</v>
      </c>
      <c r="D37" s="93"/>
      <c r="E37" s="94"/>
      <c r="F37" s="95">
        <f>SUM(F35:F36)</f>
        <v>237940</v>
      </c>
      <c r="G37" s="96">
        <f>SUM(G35:I36)</f>
        <v>249837</v>
      </c>
      <c r="H37" s="96"/>
      <c r="I37" s="96"/>
      <c r="J37" s="96">
        <f>SUM(J35:L36)</f>
        <v>261734</v>
      </c>
      <c r="K37" s="96"/>
      <c r="L37" s="96"/>
      <c r="M37" s="97">
        <f>SUM(M35:M36)</f>
        <v>273631</v>
      </c>
    </row>
    <row r="38" spans="1:13" x14ac:dyDescent="0.3">
      <c r="A38" s="84"/>
      <c r="B38" s="59" t="s">
        <v>53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86"/>
    </row>
    <row r="39" spans="1:13" x14ac:dyDescent="0.3">
      <c r="A39" s="84"/>
      <c r="B39" s="61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87"/>
    </row>
    <row r="40" spans="1:13" ht="17.25" thickBot="1" x14ac:dyDescent="0.35">
      <c r="A40" s="88"/>
      <c r="B40" s="89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1"/>
    </row>
    <row r="41" spans="1:13" x14ac:dyDescent="0.3">
      <c r="A41" s="4"/>
      <c r="B41" s="5"/>
      <c r="C41" s="15"/>
      <c r="D41" s="15"/>
      <c r="E41" s="15"/>
      <c r="F41" s="5"/>
      <c r="G41" s="5"/>
      <c r="H41" s="5"/>
      <c r="I41" s="5"/>
      <c r="J41" s="5"/>
      <c r="K41" s="5"/>
      <c r="L41" s="5"/>
      <c r="M41" s="5"/>
    </row>
    <row r="42" spans="1:13" x14ac:dyDescent="0.3">
      <c r="A42" s="5"/>
      <c r="B42" s="5"/>
      <c r="C42" s="15"/>
      <c r="D42" s="15"/>
      <c r="E42" s="15"/>
      <c r="F42" s="5"/>
      <c r="G42" s="5"/>
      <c r="H42" s="5"/>
      <c r="I42" s="5"/>
      <c r="J42" s="5"/>
      <c r="K42" s="5"/>
      <c r="L42" s="5"/>
      <c r="M42" s="5"/>
    </row>
    <row r="43" spans="1:13" x14ac:dyDescent="0.3">
      <c r="A43" s="5"/>
      <c r="B43" s="5"/>
      <c r="C43" s="15"/>
      <c r="D43" s="15"/>
      <c r="E43" s="15"/>
      <c r="F43" s="5"/>
      <c r="G43" s="5"/>
      <c r="H43" s="5"/>
      <c r="I43" s="5"/>
      <c r="J43" s="5"/>
      <c r="K43" s="5"/>
      <c r="L43" s="5"/>
      <c r="M43" s="5"/>
    </row>
    <row r="44" spans="1:13" x14ac:dyDescent="0.3">
      <c r="A44" s="5"/>
      <c r="B44" s="5"/>
      <c r="C44" s="15"/>
      <c r="D44" s="15"/>
      <c r="E44" s="15"/>
      <c r="F44" s="5"/>
      <c r="G44" s="5"/>
      <c r="H44" s="5"/>
      <c r="I44" s="5"/>
      <c r="J44" s="5"/>
      <c r="K44" s="5"/>
      <c r="L44" s="5"/>
      <c r="M44" s="5"/>
    </row>
    <row r="45" spans="1:13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13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3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3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1:13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1:13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1:13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13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13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1:13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1:13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1:13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13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1:13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1:13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13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1:13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13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1:13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1:13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3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1:13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13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1:13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1:13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1:13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1:13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13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1:13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1:13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13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13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1:13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1:13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3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1:13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1:13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1:13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1:13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1:13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1:13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1:13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1:13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1:13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1:13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1:13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1:13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1:13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1:13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13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1:13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13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13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1:13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1:13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1:13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1:13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1:13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1:13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1:13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1:13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1:13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1:13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1:13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1:13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1:13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1:13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1:13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1:13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1:13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1:13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1:13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1:13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1:13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1:13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1:13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1:13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1:13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1:13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1:13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1:13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1:13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1:13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1:13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1:13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1:13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1:13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1:13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13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3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3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13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1:13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13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1:13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1:13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1:13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13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1:13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1:13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1:13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1:13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13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13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1:13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1:13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1:13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3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3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1:13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1:13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1:13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1:13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1:13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1:13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1:13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1:13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1:13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1:13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1:13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3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1:13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1:13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1:13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1:13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1:13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13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1:13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1:13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13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1:13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13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1:13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13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1:13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13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3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3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13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13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1:13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13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1:13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1:13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1:13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1:13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1:13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1:13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1:13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1:13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1:13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1:13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1:13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1:13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1:13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3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3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1:13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1:13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1:13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1:13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1:13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1:13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1:13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1:13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1:13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1:13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1:13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1:13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1:13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1:13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1:13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13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3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1:13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1:13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1:13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1:13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1:13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1:13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1:13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1:13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1:13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1:13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1:13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13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1:13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1:13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1:13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1:13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1:13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3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3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1:13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1:13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1:13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1:13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1:13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1:13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1:13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1:13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1:13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1:13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1:13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3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1:13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1:13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1:13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1:13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3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13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1:13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1:13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1:13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1:13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1:13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1:13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1:13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1:13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1:13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1:13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1:13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1:13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1:13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1:13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1:13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13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3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3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1:13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1:13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1:13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1:13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1:13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1:13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1:13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1:13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1:13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1:13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1:13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1:13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1:13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1:13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1:13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1:13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1:13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3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3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1:13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1:13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1:13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1:13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1:13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1:13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1:13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</sheetData>
  <mergeCells count="110">
    <mergeCell ref="G37:I37"/>
    <mergeCell ref="J37:L37"/>
    <mergeCell ref="G32:I32"/>
    <mergeCell ref="J32:L32"/>
    <mergeCell ref="G33:I33"/>
    <mergeCell ref="J33:L33"/>
    <mergeCell ref="G34:I34"/>
    <mergeCell ref="J34:L34"/>
    <mergeCell ref="G35:I35"/>
    <mergeCell ref="J35:L35"/>
    <mergeCell ref="G36:I36"/>
    <mergeCell ref="J36:L36"/>
    <mergeCell ref="J25:L25"/>
    <mergeCell ref="G26:I26"/>
    <mergeCell ref="J26:L26"/>
    <mergeCell ref="G27:I27"/>
    <mergeCell ref="J27:L27"/>
    <mergeCell ref="G28:I28"/>
    <mergeCell ref="J28:L28"/>
    <mergeCell ref="G29:I29"/>
    <mergeCell ref="J29:L29"/>
    <mergeCell ref="J20:L20"/>
    <mergeCell ref="G21:I21"/>
    <mergeCell ref="J21:L21"/>
    <mergeCell ref="G22:I22"/>
    <mergeCell ref="J22:L22"/>
    <mergeCell ref="G23:I23"/>
    <mergeCell ref="J23:L23"/>
    <mergeCell ref="G24:I24"/>
    <mergeCell ref="J24:L24"/>
    <mergeCell ref="G17:I17"/>
    <mergeCell ref="J17:L17"/>
    <mergeCell ref="G18:I18"/>
    <mergeCell ref="J18:L18"/>
    <mergeCell ref="G19:I19"/>
    <mergeCell ref="J19:L19"/>
    <mergeCell ref="G20:I20"/>
    <mergeCell ref="G30:I30"/>
    <mergeCell ref="J30:L30"/>
    <mergeCell ref="G31:I31"/>
    <mergeCell ref="J31:L31"/>
    <mergeCell ref="B29:B31"/>
    <mergeCell ref="A17:A22"/>
    <mergeCell ref="A23:A28"/>
    <mergeCell ref="B32:B34"/>
    <mergeCell ref="A29:A34"/>
    <mergeCell ref="B35:B37"/>
    <mergeCell ref="A35:A40"/>
    <mergeCell ref="B38:M40"/>
    <mergeCell ref="B17:B19"/>
    <mergeCell ref="B20:B22"/>
    <mergeCell ref="B23:B25"/>
    <mergeCell ref="B26:B28"/>
    <mergeCell ref="C28:E28"/>
    <mergeCell ref="C17:E17"/>
    <mergeCell ref="C18:E18"/>
    <mergeCell ref="C19:E19"/>
    <mergeCell ref="C20:E20"/>
    <mergeCell ref="C21:E21"/>
    <mergeCell ref="C22:E22"/>
    <mergeCell ref="G25:I25"/>
    <mergeCell ref="C41:E41"/>
    <mergeCell ref="C42:E42"/>
    <mergeCell ref="C43:E43"/>
    <mergeCell ref="C44:E44"/>
    <mergeCell ref="C35:E35"/>
    <mergeCell ref="C36:E36"/>
    <mergeCell ref="C37:E37"/>
    <mergeCell ref="C29:E29"/>
    <mergeCell ref="C30:E30"/>
    <mergeCell ref="C31:E31"/>
    <mergeCell ref="C32:E32"/>
    <mergeCell ref="C33:E33"/>
    <mergeCell ref="C34:E34"/>
    <mergeCell ref="C23:E23"/>
    <mergeCell ref="C24:E24"/>
    <mergeCell ref="C25:E25"/>
    <mergeCell ref="C26:E26"/>
    <mergeCell ref="C27:E27"/>
    <mergeCell ref="A15:A16"/>
    <mergeCell ref="B15:B16"/>
    <mergeCell ref="C15:E16"/>
    <mergeCell ref="F15:M15"/>
    <mergeCell ref="A10:B11"/>
    <mergeCell ref="A12:B13"/>
    <mergeCell ref="C10:F11"/>
    <mergeCell ref="C12:F13"/>
    <mergeCell ref="G10:M11"/>
    <mergeCell ref="G12:M13"/>
    <mergeCell ref="G16:I16"/>
    <mergeCell ref="J16:L16"/>
    <mergeCell ref="A5:B6"/>
    <mergeCell ref="C5:D6"/>
    <mergeCell ref="E5:F6"/>
    <mergeCell ref="A7:B8"/>
    <mergeCell ref="C7:D8"/>
    <mergeCell ref="E7:F8"/>
    <mergeCell ref="A1:M2"/>
    <mergeCell ref="A3:B4"/>
    <mergeCell ref="C3:D4"/>
    <mergeCell ref="E3:F4"/>
    <mergeCell ref="G3:I4"/>
    <mergeCell ref="G5:I6"/>
    <mergeCell ref="G7:I8"/>
    <mergeCell ref="J3:L4"/>
    <mergeCell ref="M3:M4"/>
    <mergeCell ref="J5:L6"/>
    <mergeCell ref="M5:M6"/>
    <mergeCell ref="J7:L8"/>
    <mergeCell ref="M7:M8"/>
  </mergeCells>
  <phoneticPr fontId="1" type="noConversion"/>
  <pageMargins left="0.54166666666666663" right="0.54166666666666663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수가</vt:lpstr>
      <vt:lpstr>이용료안내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회사</dc:creator>
  <cp:lastModifiedBy>회사</cp:lastModifiedBy>
  <cp:lastPrinted>2018-12-29T03:52:40Z</cp:lastPrinted>
  <dcterms:created xsi:type="dcterms:W3CDTF">2018-12-22T01:21:33Z</dcterms:created>
  <dcterms:modified xsi:type="dcterms:W3CDTF">2018-12-29T04:10:57Z</dcterms:modified>
</cp:coreProperties>
</file>